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i\Lettere informative\LETTERE INFO 2017\ALLEGATI 2017\"/>
    </mc:Choice>
  </mc:AlternateContent>
  <bookViews>
    <workbookView xWindow="0" yWindow="0" windowWidth="19200" windowHeight="11595" tabRatio="868" activeTab="1"/>
  </bookViews>
  <sheets>
    <sheet name="INSERIMENTO_DATI" sheetId="17" r:id="rId1"/>
    <sheet name="Fdo Spese_ Spese" sheetId="20" r:id="rId2"/>
    <sheet name="CONTEGGIO" sheetId="19" r:id="rId3"/>
    <sheet name="PROVVEDIMENTO" sheetId="16" r:id="rId4"/>
    <sheet name="Istanza Liquidaz Compenso" sheetId="21" r:id="rId5"/>
    <sheet name="DM 227" sheetId="22" r:id="rId6"/>
    <sheet name="DM 80" sheetId="9" r:id="rId7"/>
    <sheet name="Sviluppo DM 80" sheetId="10" r:id="rId8"/>
    <sheet name="DM 80 ALL 1" sheetId="4" r:id="rId9"/>
    <sheet name="elenchi" sheetId="15" r:id="rId10"/>
    <sheet name="Spese dm313" sheetId="6" state="hidden" r:id="rId11"/>
  </sheets>
  <definedNames>
    <definedName name="_xlnm.Print_Area" localSheetId="2">CONTEGGIO!$A$1:$O$37</definedName>
    <definedName name="_xlnm.Print_Area" localSheetId="5">'DM 227'!$B$5:$L$69</definedName>
    <definedName name="_xlnm.Print_Area" localSheetId="1">'Fdo Spese_ Spese'!$A$2:$F$50</definedName>
    <definedName name="CUSTODIA_PLURIS">elenchi!$D$1:$D$6</definedName>
    <definedName name="CUSTODIA_PLUS">elenchi!$D$1:$F$6</definedName>
    <definedName name="ELENCO_PROF">elenchi!#REF!</definedName>
    <definedName name="LOTTI_NUM">elenchi!$B$7:$B$12</definedName>
    <definedName name="MIS_LIQUIDAZ">elenchi!$A$6:$A$11</definedName>
    <definedName name="PROCED" localSheetId="3">PROVVEDIMENTO!$B$10</definedName>
    <definedName name="PROFESSIONISTI_">elenchi!$K$1:$K$140</definedName>
    <definedName name="SCELTA">elenchi!$B$2:$B$3</definedName>
    <definedName name="SCELTA_">elenchi!$B$1:$B$3</definedName>
    <definedName name="scelta_semplice">elenchi!$B$1:$B$3</definedName>
    <definedName name="STATO_BENE">elenchi!$G$1:$H$3</definedName>
    <definedName name="STATO_BENI">elenchi!$G$2:$G$4</definedName>
    <definedName name="STATUS_IMM">elenchi!$G$1:$G$4</definedName>
    <definedName name="TEMPO_ESTINZ">elenchi!$C$2:$C$3</definedName>
    <definedName name="TEMPO_ESTINZIONE">elenchi!$C$1:$C$3</definedName>
    <definedName name="TITOLI">elenchi!$A$1:$A$4</definedName>
    <definedName name="titolo">#REF!</definedName>
  </definedNames>
  <calcPr calcId="152511" fullPrecision="0"/>
</workbook>
</file>

<file path=xl/calcChain.xml><?xml version="1.0" encoding="utf-8"?>
<calcChain xmlns="http://schemas.openxmlformats.org/spreadsheetml/2006/main">
  <c r="A25" i="17" l="1"/>
  <c r="C18" i="16"/>
  <c r="Q13" i="22"/>
  <c r="Q11" i="22"/>
  <c r="E7" i="17"/>
  <c r="A27" i="19"/>
  <c r="G30" i="19" s="1"/>
  <c r="G34" i="19" s="1"/>
  <c r="D50" i="16" s="1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5" i="20"/>
  <c r="J7" i="20"/>
  <c r="J9" i="20"/>
  <c r="J12" i="20"/>
  <c r="M33" i="17"/>
  <c r="A48" i="16"/>
  <c r="A57" i="16"/>
  <c r="A54" i="16"/>
  <c r="A53" i="16"/>
  <c r="B54" i="16"/>
  <c r="B53" i="16"/>
  <c r="A51" i="16"/>
  <c r="G48" i="16"/>
  <c r="F48" i="16"/>
  <c r="D43" i="16"/>
  <c r="D41" i="16"/>
  <c r="A36" i="19"/>
  <c r="A13" i="16"/>
  <c r="A12" i="16"/>
  <c r="A8" i="16"/>
  <c r="L53" i="22"/>
  <c r="L31" i="22"/>
  <c r="Y13" i="17"/>
  <c r="X13" i="17"/>
  <c r="W13" i="17"/>
  <c r="V13" i="17"/>
  <c r="U13" i="17"/>
  <c r="I29" i="22"/>
  <c r="G29" i="22"/>
  <c r="I24" i="22"/>
  <c r="G24" i="22"/>
  <c r="Y14" i="17"/>
  <c r="X14" i="17"/>
  <c r="W14" i="17"/>
  <c r="V14" i="17"/>
  <c r="U14" i="17"/>
  <c r="N14" i="17"/>
  <c r="L8" i="22"/>
  <c r="J28" i="22"/>
  <c r="I28" i="22"/>
  <c r="J7" i="22"/>
  <c r="J23" i="22"/>
  <c r="I7" i="22"/>
  <c r="I53" i="22"/>
  <c r="I23" i="22"/>
  <c r="I20" i="22"/>
  <c r="I14" i="22"/>
  <c r="I44" i="22"/>
  <c r="H7" i="22"/>
  <c r="H23" i="22"/>
  <c r="G7" i="22"/>
  <c r="G28" i="22"/>
  <c r="F7" i="22"/>
  <c r="F18" i="22"/>
  <c r="C21" i="17"/>
  <c r="E24" i="9"/>
  <c r="A45" i="21"/>
  <c r="A58" i="16"/>
  <c r="A1" i="19"/>
  <c r="D50" i="20"/>
  <c r="H33" i="17"/>
  <c r="E50" i="20"/>
  <c r="H34" i="17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A13" i="21"/>
  <c r="P11" i="17"/>
  <c r="Q11" i="17"/>
  <c r="R11" i="17"/>
  <c r="S11" i="17"/>
  <c r="O11" i="17"/>
  <c r="M26" i="17"/>
  <c r="H30" i="21"/>
  <c r="A21" i="19"/>
  <c r="A20" i="19"/>
  <c r="A19" i="19"/>
  <c r="A18" i="19"/>
  <c r="A17" i="19"/>
  <c r="A16" i="19"/>
  <c r="E19" i="9"/>
  <c r="D19" i="10"/>
  <c r="E19" i="10"/>
  <c r="F19" i="19"/>
  <c r="E17" i="9"/>
  <c r="E17" i="10"/>
  <c r="F18" i="19"/>
  <c r="E14" i="9"/>
  <c r="E17" i="19"/>
  <c r="E12" i="9"/>
  <c r="E12" i="10"/>
  <c r="A6" i="4"/>
  <c r="F10" i="4"/>
  <c r="E21" i="9"/>
  <c r="G19" i="9"/>
  <c r="G17" i="10"/>
  <c r="H18" i="19"/>
  <c r="G17" i="9"/>
  <c r="G14" i="9"/>
  <c r="G14" i="10"/>
  <c r="G12" i="9"/>
  <c r="G12" i="10"/>
  <c r="C6" i="4"/>
  <c r="G20" i="4"/>
  <c r="G14" i="4"/>
  <c r="G21" i="9"/>
  <c r="E32" i="4"/>
  <c r="E33" i="4"/>
  <c r="I19" i="9"/>
  <c r="H19" i="10"/>
  <c r="I17" i="9"/>
  <c r="I14" i="9"/>
  <c r="H14" i="10"/>
  <c r="H16" i="10"/>
  <c r="H17" i="10"/>
  <c r="I12" i="9"/>
  <c r="I12" i="10"/>
  <c r="E6" i="4"/>
  <c r="H16" i="4"/>
  <c r="H22" i="4"/>
  <c r="I21" i="9"/>
  <c r="H22" i="10"/>
  <c r="I21" i="19"/>
  <c r="K19" i="9"/>
  <c r="J19" i="10"/>
  <c r="K19" i="10"/>
  <c r="K19" i="19"/>
  <c r="K17" i="9"/>
  <c r="K14" i="9"/>
  <c r="J14" i="10"/>
  <c r="K12" i="9"/>
  <c r="J12" i="10"/>
  <c r="G6" i="4"/>
  <c r="I16" i="4"/>
  <c r="K21" i="9"/>
  <c r="G32" i="4"/>
  <c r="M19" i="9"/>
  <c r="M17" i="9"/>
  <c r="M14" i="9"/>
  <c r="M14" i="10"/>
  <c r="M12" i="9"/>
  <c r="M12" i="10"/>
  <c r="I6" i="4"/>
  <c r="J10" i="4"/>
  <c r="M21" i="9"/>
  <c r="H39" i="17"/>
  <c r="H31" i="21"/>
  <c r="H29" i="21"/>
  <c r="H28" i="21"/>
  <c r="H27" i="21"/>
  <c r="H32" i="21"/>
  <c r="C7" i="21"/>
  <c r="C6" i="21"/>
  <c r="I4" i="21"/>
  <c r="N11" i="17"/>
  <c r="K31" i="17"/>
  <c r="A24" i="16"/>
  <c r="M29" i="19"/>
  <c r="I47" i="16"/>
  <c r="K29" i="19"/>
  <c r="H47" i="16"/>
  <c r="I29" i="19"/>
  <c r="E48" i="16"/>
  <c r="G29" i="19"/>
  <c r="D49" i="16"/>
  <c r="E29" i="19"/>
  <c r="C49" i="16"/>
  <c r="A19" i="16"/>
  <c r="M15" i="19"/>
  <c r="K15" i="19"/>
  <c r="I15" i="19"/>
  <c r="G15" i="19"/>
  <c r="E15" i="19"/>
  <c r="A15" i="19"/>
  <c r="A14" i="16"/>
  <c r="A30" i="16"/>
  <c r="A29" i="16"/>
  <c r="A55" i="16"/>
  <c r="A52" i="16"/>
  <c r="A50" i="16"/>
  <c r="A27" i="16"/>
  <c r="A22" i="16"/>
  <c r="A6" i="16"/>
  <c r="A11" i="16"/>
  <c r="A9" i="16"/>
  <c r="A10" i="16"/>
  <c r="A7" i="16"/>
  <c r="A5" i="16"/>
  <c r="I21" i="16"/>
  <c r="G21" i="16"/>
  <c r="E21" i="16"/>
  <c r="C21" i="16"/>
  <c r="I20" i="16"/>
  <c r="G20" i="16"/>
  <c r="E20" i="16"/>
  <c r="C20" i="16"/>
  <c r="I15" i="16"/>
  <c r="G15" i="16"/>
  <c r="E15" i="16"/>
  <c r="C15" i="16"/>
  <c r="A17" i="16"/>
  <c r="L27" i="17"/>
  <c r="I18" i="16"/>
  <c r="A21" i="16"/>
  <c r="N25" i="17"/>
  <c r="N23" i="17"/>
  <c r="E18" i="16"/>
  <c r="E9" i="17"/>
  <c r="G8" i="17"/>
  <c r="K7" i="17"/>
  <c r="M7" i="17"/>
  <c r="E4" i="6"/>
  <c r="E5" i="17"/>
  <c r="K21" i="17"/>
  <c r="I23" i="16"/>
  <c r="M24" i="9"/>
  <c r="L24" i="10"/>
  <c r="I21" i="17"/>
  <c r="K24" i="9"/>
  <c r="L20" i="19"/>
  <c r="G21" i="17"/>
  <c r="E23" i="16"/>
  <c r="I24" i="9"/>
  <c r="H24" i="10"/>
  <c r="E21" i="17"/>
  <c r="I7" i="9"/>
  <c r="M22" i="9"/>
  <c r="H31" i="4"/>
  <c r="H33" i="4"/>
  <c r="K22" i="9"/>
  <c r="G31" i="4"/>
  <c r="G33" i="4"/>
  <c r="I22" i="9"/>
  <c r="F31" i="4"/>
  <c r="G22" i="9"/>
  <c r="E22" i="9"/>
  <c r="D31" i="4"/>
  <c r="D22" i="10"/>
  <c r="H22" i="19"/>
  <c r="I31" i="17"/>
  <c r="M9" i="9"/>
  <c r="M8" i="10"/>
  <c r="N16" i="19"/>
  <c r="K9" i="9"/>
  <c r="K8" i="10"/>
  <c r="L16" i="19"/>
  <c r="I9" i="9"/>
  <c r="I8" i="10"/>
  <c r="J16" i="19"/>
  <c r="G9" i="9"/>
  <c r="G8" i="10"/>
  <c r="H16" i="19"/>
  <c r="E9" i="9"/>
  <c r="E8" i="10"/>
  <c r="F16" i="19"/>
  <c r="M7" i="9"/>
  <c r="K7" i="9"/>
  <c r="G7" i="9"/>
  <c r="E7" i="9"/>
  <c r="I16" i="16"/>
  <c r="G16" i="16"/>
  <c r="E16" i="16"/>
  <c r="C16" i="16"/>
  <c r="A16" i="16"/>
  <c r="E22" i="6"/>
  <c r="F22" i="6"/>
  <c r="D7" i="6"/>
  <c r="D22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G23" i="16"/>
  <c r="G24" i="9"/>
  <c r="G24" i="10"/>
  <c r="H20" i="19"/>
  <c r="C23" i="16"/>
  <c r="A23" i="16"/>
  <c r="J31" i="22"/>
  <c r="G31" i="22"/>
  <c r="H31" i="22"/>
  <c r="F31" i="22"/>
  <c r="I31" i="22"/>
  <c r="L22" i="10"/>
  <c r="M21" i="19"/>
  <c r="N20" i="19"/>
  <c r="K31" i="22"/>
  <c r="I68" i="22"/>
  <c r="L19" i="10"/>
  <c r="M19" i="10"/>
  <c r="M19" i="19"/>
  <c r="F68" i="22"/>
  <c r="J68" i="22"/>
  <c r="H68" i="22"/>
  <c r="G68" i="22"/>
  <c r="J17" i="19"/>
  <c r="N18" i="19"/>
  <c r="F24" i="10"/>
  <c r="G20" i="19"/>
  <c r="J22" i="19"/>
  <c r="J18" i="19"/>
  <c r="F22" i="19"/>
  <c r="L17" i="19"/>
  <c r="H29" i="22"/>
  <c r="F29" i="22"/>
  <c r="D32" i="4"/>
  <c r="D33" i="4"/>
  <c r="N22" i="19"/>
  <c r="E21" i="19"/>
  <c r="K17" i="10"/>
  <c r="L18" i="19"/>
  <c r="J22" i="10"/>
  <c r="K21" i="19"/>
  <c r="J24" i="22"/>
  <c r="L22" i="19"/>
  <c r="E31" i="4"/>
  <c r="N17" i="19"/>
  <c r="H17" i="19"/>
  <c r="J53" i="22"/>
  <c r="J19" i="22"/>
  <c r="J15" i="22"/>
  <c r="J14" i="22"/>
  <c r="J44" i="22"/>
  <c r="J29" i="22"/>
  <c r="J25" i="22"/>
  <c r="L19" i="19"/>
  <c r="H19" i="22"/>
  <c r="H24" i="22"/>
  <c r="F24" i="22"/>
  <c r="K24" i="22"/>
  <c r="F19" i="22"/>
  <c r="I19" i="22"/>
  <c r="H28" i="22"/>
  <c r="G19" i="22"/>
  <c r="G23" i="22"/>
  <c r="G20" i="22"/>
  <c r="G16" i="4"/>
  <c r="F28" i="22"/>
  <c r="J18" i="22"/>
  <c r="F23" i="22"/>
  <c r="K23" i="22"/>
  <c r="M20" i="19"/>
  <c r="I18" i="22"/>
  <c r="I49" i="16"/>
  <c r="I50" i="16"/>
  <c r="I51" i="16"/>
  <c r="I52" i="16"/>
  <c r="I53" i="16"/>
  <c r="K68" i="22"/>
  <c r="J61" i="22"/>
  <c r="R62" i="22"/>
  <c r="H18" i="22"/>
  <c r="H61" i="22"/>
  <c r="G18" i="22"/>
  <c r="J20" i="22"/>
  <c r="E24" i="10"/>
  <c r="F20" i="19"/>
  <c r="D24" i="10"/>
  <c r="E20" i="19"/>
  <c r="J24" i="10"/>
  <c r="K20" i="19"/>
  <c r="K24" i="10"/>
  <c r="I18" i="4"/>
  <c r="H32" i="4"/>
  <c r="I15" i="22"/>
  <c r="I17" i="10"/>
  <c r="F22" i="10"/>
  <c r="G21" i="19"/>
  <c r="H20" i="22"/>
  <c r="M24" i="10"/>
  <c r="I20" i="4"/>
  <c r="I25" i="22"/>
  <c r="G18" i="4"/>
  <c r="G10" i="4"/>
  <c r="G12" i="4"/>
  <c r="J16" i="4"/>
  <c r="J20" i="4"/>
  <c r="J18" i="4"/>
  <c r="J12" i="4"/>
  <c r="J14" i="4"/>
  <c r="N19" i="19"/>
  <c r="I10" i="4"/>
  <c r="I22" i="4"/>
  <c r="J8" i="10"/>
  <c r="J9" i="10"/>
  <c r="J10" i="10"/>
  <c r="I12" i="4"/>
  <c r="I14" i="4"/>
  <c r="H14" i="4"/>
  <c r="J19" i="19"/>
  <c r="H18" i="4"/>
  <c r="I19" i="19"/>
  <c r="H10" i="4"/>
  <c r="H20" i="4"/>
  <c r="H12" i="4"/>
  <c r="I16" i="19"/>
  <c r="J63" i="22"/>
  <c r="J62" i="22"/>
  <c r="J22" i="4"/>
  <c r="L8" i="10"/>
  <c r="L9" i="10"/>
  <c r="L10" i="10"/>
  <c r="G16" i="19"/>
  <c r="M16" i="19"/>
  <c r="K16" i="19"/>
  <c r="G17" i="19"/>
  <c r="M17" i="19"/>
  <c r="K17" i="19"/>
  <c r="M18" i="19"/>
  <c r="M22" i="19"/>
  <c r="K22" i="19"/>
  <c r="K18" i="19"/>
  <c r="J45" i="22"/>
  <c r="J43" i="22"/>
  <c r="J52" i="22"/>
  <c r="J49" i="22"/>
  <c r="I20" i="19"/>
  <c r="G18" i="19"/>
  <c r="I45" i="22"/>
  <c r="I43" i="22"/>
  <c r="I61" i="22"/>
  <c r="F19" i="10"/>
  <c r="G19" i="10"/>
  <c r="J60" i="22"/>
  <c r="I17" i="19"/>
  <c r="H12" i="10"/>
  <c r="J64" i="22"/>
  <c r="M17" i="10"/>
  <c r="F32" i="4"/>
  <c r="F33" i="4"/>
  <c r="I24" i="10"/>
  <c r="J20" i="19"/>
  <c r="I62" i="22"/>
  <c r="I60" i="22"/>
  <c r="Q62" i="22"/>
  <c r="I63" i="22"/>
  <c r="G19" i="19"/>
  <c r="G22" i="19"/>
  <c r="H19" i="19"/>
  <c r="I22" i="19"/>
  <c r="I18" i="19"/>
  <c r="I64" i="22"/>
  <c r="I52" i="22"/>
  <c r="I49" i="22"/>
  <c r="H62" i="22"/>
  <c r="P62" i="22"/>
  <c r="H63" i="22"/>
  <c r="H53" i="22"/>
  <c r="H25" i="22"/>
  <c r="H15" i="22"/>
  <c r="H14" i="22"/>
  <c r="H44" i="22"/>
  <c r="H8" i="10"/>
  <c r="H9" i="10"/>
  <c r="H10" i="10"/>
  <c r="H64" i="22"/>
  <c r="H60" i="22"/>
  <c r="H45" i="22"/>
  <c r="H43" i="22"/>
  <c r="H52" i="22"/>
  <c r="H49" i="22"/>
  <c r="F50" i="20"/>
  <c r="F12" i="4"/>
  <c r="F16" i="4"/>
  <c r="I14" i="10"/>
  <c r="F53" i="22"/>
  <c r="F14" i="4"/>
  <c r="F18" i="4"/>
  <c r="F20" i="4"/>
  <c r="L7" i="22"/>
  <c r="L26" i="22"/>
  <c r="M26" i="22"/>
  <c r="Q26" i="22"/>
  <c r="T11" i="17"/>
  <c r="E19" i="21"/>
  <c r="F12" i="10"/>
  <c r="F17" i="19"/>
  <c r="D12" i="10"/>
  <c r="K12" i="10"/>
  <c r="K14" i="10"/>
  <c r="L14" i="10"/>
  <c r="A26" i="16"/>
  <c r="G34" i="21"/>
  <c r="G53" i="22"/>
  <c r="G22" i="4"/>
  <c r="F8" i="10"/>
  <c r="F9" i="10"/>
  <c r="F10" i="10"/>
  <c r="F14" i="10"/>
  <c r="F16" i="10"/>
  <c r="F17" i="10"/>
  <c r="F22" i="4"/>
  <c r="H35" i="17"/>
  <c r="I34" i="21"/>
  <c r="E45" i="16"/>
  <c r="E9" i="19"/>
  <c r="E14" i="10"/>
  <c r="L16" i="22"/>
  <c r="M16" i="22"/>
  <c r="Q16" i="22"/>
  <c r="N13" i="17"/>
  <c r="L9" i="22"/>
  <c r="K2" i="22"/>
  <c r="K53" i="22"/>
  <c r="D8" i="10"/>
  <c r="D9" i="10"/>
  <c r="D10" i="10"/>
  <c r="L21" i="22"/>
  <c r="M21" i="22"/>
  <c r="Q21" i="22"/>
  <c r="Q44" i="22"/>
  <c r="L27" i="22"/>
  <c r="M27" i="22"/>
  <c r="R26" i="22"/>
  <c r="L17" i="22"/>
  <c r="M17" i="22"/>
  <c r="R16" i="22"/>
  <c r="L22" i="22"/>
  <c r="M22" i="22"/>
  <c r="F23" i="4"/>
  <c r="D14" i="10"/>
  <c r="D16" i="10"/>
  <c r="D17" i="10"/>
  <c r="E16" i="19"/>
  <c r="R21" i="22"/>
  <c r="R44" i="22"/>
  <c r="R13" i="22"/>
  <c r="R11" i="22"/>
  <c r="G61" i="22"/>
  <c r="G63" i="22"/>
  <c r="G32" i="19"/>
  <c r="F15" i="22"/>
  <c r="G15" i="22"/>
  <c r="G25" i="22"/>
  <c r="G14" i="22"/>
  <c r="G44" i="22"/>
  <c r="G45" i="22"/>
  <c r="G43" i="22"/>
  <c r="G52" i="22"/>
  <c r="G49" i="22"/>
  <c r="K18" i="22"/>
  <c r="F20" i="22"/>
  <c r="F25" i="22"/>
  <c r="F14" i="22"/>
  <c r="F44" i="22"/>
  <c r="K20" i="22"/>
  <c r="L12" i="10"/>
  <c r="L16" i="10"/>
  <c r="L17" i="10"/>
  <c r="L21" i="10"/>
  <c r="L31" i="10"/>
  <c r="H21" i="10"/>
  <c r="J16" i="10"/>
  <c r="J17" i="10"/>
  <c r="J21" i="10"/>
  <c r="J31" i="10"/>
  <c r="F21" i="10"/>
  <c r="F31" i="10"/>
  <c r="E18" i="19"/>
  <c r="D21" i="10"/>
  <c r="D31" i="10"/>
  <c r="H31" i="10"/>
  <c r="I19" i="10"/>
  <c r="E19" i="19"/>
  <c r="K29" i="22"/>
  <c r="L29" i="22"/>
  <c r="L24" i="22"/>
  <c r="M24" i="22"/>
  <c r="L19" i="22"/>
  <c r="K19" i="22"/>
  <c r="K15" i="22"/>
  <c r="O62" i="22"/>
  <c r="G62" i="22"/>
  <c r="G64" i="22"/>
  <c r="K30" i="19"/>
  <c r="K34" i="19" s="1"/>
  <c r="F49" i="16" s="1"/>
  <c r="M30" i="19"/>
  <c r="M34" i="19"/>
  <c r="G49" i="16" s="1"/>
  <c r="L23" i="22"/>
  <c r="L28" i="22"/>
  <c r="L18" i="22"/>
  <c r="M18" i="22"/>
  <c r="F61" i="22"/>
  <c r="K28" i="22"/>
  <c r="M31" i="19"/>
  <c r="I30" i="19"/>
  <c r="I34" i="19"/>
  <c r="E49" i="16" s="1"/>
  <c r="G33" i="19"/>
  <c r="I32" i="19"/>
  <c r="G31" i="19"/>
  <c r="G35" i="19" s="1"/>
  <c r="D51" i="16" s="1"/>
  <c r="D52" i="16" s="1"/>
  <c r="I31" i="19"/>
  <c r="E22" i="19"/>
  <c r="E23" i="19"/>
  <c r="D32" i="10"/>
  <c r="M29" i="22"/>
  <c r="L25" i="22"/>
  <c r="M19" i="22"/>
  <c r="G60" i="22"/>
  <c r="F45" i="22"/>
  <c r="F43" i="22"/>
  <c r="L61" i="22"/>
  <c r="O30" i="19"/>
  <c r="H49" i="16" s="1"/>
  <c r="L15" i="22"/>
  <c r="K25" i="22"/>
  <c r="K14" i="22"/>
  <c r="M28" i="22"/>
  <c r="M23" i="22"/>
  <c r="L20" i="22"/>
  <c r="K61" i="22"/>
  <c r="N62" i="22"/>
  <c r="L62" i="22"/>
  <c r="F63" i="22"/>
  <c r="E32" i="19"/>
  <c r="E35" i="19"/>
  <c r="C51" i="16" s="1"/>
  <c r="F62" i="22"/>
  <c r="E31" i="19"/>
  <c r="F60" i="22"/>
  <c r="F52" i="22"/>
  <c r="F49" i="22"/>
  <c r="D33" i="10"/>
  <c r="D34" i="10"/>
  <c r="E37" i="16"/>
  <c r="E24" i="19"/>
  <c r="L14" i="22"/>
  <c r="L44" i="22"/>
  <c r="K44" i="22"/>
  <c r="F64" i="22"/>
  <c r="E33" i="19"/>
  <c r="K62" i="22"/>
  <c r="K64" i="22"/>
  <c r="L63" i="22"/>
  <c r="O32" i="19"/>
  <c r="M61" i="22"/>
  <c r="K63" i="22"/>
  <c r="M63" i="22"/>
  <c r="E38" i="16"/>
  <c r="E39" i="16"/>
  <c r="E25" i="19"/>
  <c r="K45" i="22"/>
  <c r="K43" i="22"/>
  <c r="K11" i="22"/>
  <c r="L45" i="22"/>
  <c r="K60" i="22"/>
  <c r="K12" i="22"/>
  <c r="K10" i="22"/>
  <c r="M45" i="22"/>
  <c r="N11" i="22"/>
  <c r="L43" i="22"/>
  <c r="K52" i="22"/>
  <c r="K49" i="22"/>
  <c r="E6" i="19"/>
  <c r="E34" i="16"/>
  <c r="L11" i="22"/>
  <c r="L52" i="22"/>
  <c r="L49" i="22"/>
  <c r="M11" i="22"/>
  <c r="O11" i="22"/>
  <c r="E5" i="19"/>
  <c r="E33" i="16"/>
  <c r="E7" i="19"/>
  <c r="A25" i="16"/>
  <c r="M64" i="22"/>
  <c r="N12" i="22"/>
  <c r="N10" i="22"/>
  <c r="L64" i="22"/>
  <c r="O31" i="19"/>
  <c r="O34" i="19"/>
  <c r="L60" i="22"/>
  <c r="L12" i="22"/>
  <c r="M62" i="22"/>
  <c r="E35" i="16"/>
  <c r="E36" i="16"/>
  <c r="E40" i="16"/>
  <c r="E8" i="19"/>
  <c r="L10" i="22"/>
  <c r="M10" i="22"/>
  <c r="M12" i="22"/>
  <c r="O12" i="22"/>
  <c r="O10" i="22"/>
  <c r="P10" i="22"/>
  <c r="G47" i="16"/>
  <c r="E41" i="16"/>
  <c r="E42" i="16"/>
  <c r="E43" i="16"/>
  <c r="E44" i="16"/>
  <c r="D53" i="16" l="1"/>
  <c r="D55" i="16" s="1"/>
  <c r="D54" i="16"/>
  <c r="O33" i="19"/>
  <c r="H50" i="16" s="1"/>
  <c r="H51" i="16" s="1"/>
  <c r="K32" i="19"/>
  <c r="K33" i="19"/>
  <c r="M33" i="19"/>
  <c r="M32" i="19"/>
  <c r="M35" i="19" s="1"/>
  <c r="G50" i="16" s="1"/>
  <c r="G51" i="16" s="1"/>
  <c r="I33" i="19"/>
  <c r="I35" i="19" s="1"/>
  <c r="E50" i="16" s="1"/>
  <c r="E51" i="16" s="1"/>
  <c r="E30" i="19"/>
  <c r="E34" i="19" s="1"/>
  <c r="C50" i="16" s="1"/>
  <c r="C52" i="16" s="1"/>
  <c r="K31" i="19"/>
  <c r="C53" i="16" l="1"/>
  <c r="C54" i="16"/>
  <c r="C55" i="16"/>
  <c r="G52" i="16"/>
  <c r="E52" i="16"/>
  <c r="E53" i="16" s="1"/>
  <c r="K35" i="19"/>
  <c r="F50" i="16" s="1"/>
  <c r="F51" i="16" s="1"/>
  <c r="O35" i="19"/>
  <c r="H52" i="16"/>
  <c r="H54" i="16" s="1"/>
  <c r="H53" i="16"/>
  <c r="E54" i="16" l="1"/>
  <c r="G53" i="16"/>
  <c r="G54" i="16" s="1"/>
  <c r="F52" i="16"/>
  <c r="F53" i="16"/>
  <c r="F54" i="16" s="1"/>
</calcChain>
</file>

<file path=xl/comments1.xml><?xml version="1.0" encoding="utf-8"?>
<comments xmlns="http://schemas.openxmlformats.org/spreadsheetml/2006/main">
  <authors>
    <author>sergio.s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Inserire il numero e l'anno del procedimento (nnn/aaaa) In caso di procedimenti riuniti va inserito il numero del procedimento portante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Inserire nome o denominazione del creditore procedente nella procedura portante</t>
        </r>
      </text>
    </comment>
  </commentList>
</comments>
</file>

<file path=xl/sharedStrings.xml><?xml version="1.0" encoding="utf-8"?>
<sst xmlns="http://schemas.openxmlformats.org/spreadsheetml/2006/main" count="457" uniqueCount="314">
  <si>
    <t>Minimo</t>
  </si>
  <si>
    <t>Massimo</t>
  </si>
  <si>
    <t>ALIQ.</t>
  </si>
  <si>
    <t>Scaglione da ..........   a:</t>
  </si>
  <si>
    <t>Art. 3 comma 1</t>
  </si>
  <si>
    <t>Per le attività di riscossione dei canoi di locazione, ovvero altre somme per altro titolo nonche di rinnovo disdetta e stipula dei</t>
  </si>
  <si>
    <t>contratti di godimento del bene spetta al custode un compenso aggiuntivo calcolato per scaglione come di seguito indicato:</t>
  </si>
  <si>
    <t xml:space="preserve"> - fino ad euro</t>
  </si>
  <si>
    <t xml:space="preserve"> - oltre euro</t>
  </si>
  <si>
    <t>Per le attività di seguito indicate spetta un aumento del compenso calcolato ai sensi dell'art 2 comma 1 variabile tra il 5% e il 20%:</t>
  </si>
  <si>
    <t xml:space="preserve">a) azioni per la convalida della licenza o degli sfratti per fine locazione o per morosità </t>
  </si>
  <si>
    <t>b) partecipazioni alle assemblee condominiali</t>
  </si>
  <si>
    <t>c) interventi di manutenzione ordinaria o straodinaria</t>
  </si>
  <si>
    <t>d) regolarizzazione catastale, urbanistica ed edilizia</t>
  </si>
  <si>
    <t>e) direzione controllo delle attività di asporto e trasferimento beni del debitore.</t>
  </si>
  <si>
    <t>Art. 3 comma 2</t>
  </si>
  <si>
    <t xml:space="preserve">Attivita'  di  Professionista Delegato   E.I. 208/07 </t>
  </si>
  <si>
    <t>UNICA DELEGA</t>
  </si>
  <si>
    <t>Data</t>
  </si>
  <si>
    <t>Descrizione</t>
  </si>
  <si>
    <t>Uscite</t>
  </si>
  <si>
    <t>Entrate</t>
  </si>
  <si>
    <t>Saldo</t>
  </si>
  <si>
    <t>Versamento fondo spese</t>
  </si>
  <si>
    <t>Sp. Racc. proprietario e conduttore</t>
  </si>
  <si>
    <t>fotocopie</t>
  </si>
  <si>
    <t>Ispezione Agenzia del Territorio</t>
  </si>
  <si>
    <t>Aste giudiziarie pubblicità</t>
  </si>
  <si>
    <t>Spese di pubblicità Il Centro A Manzoni</t>
  </si>
  <si>
    <t>Pescara Affari</t>
  </si>
  <si>
    <t xml:space="preserve">GAP </t>
  </si>
  <si>
    <t>SALDO al 23 09 2008</t>
  </si>
  <si>
    <t>Spese della Procedura</t>
  </si>
  <si>
    <t>in caso di cessazione di incarico e/o sospensione</t>
  </si>
  <si>
    <t>inserire una " x "</t>
  </si>
  <si>
    <t xml:space="preserve">     - il compenso è compreso tra il 20% ed il 30% dell'intero</t>
  </si>
  <si>
    <t xml:space="preserve">     - il compenso è compreso tra il 40% ed il 70% dell'intero</t>
  </si>
  <si>
    <t>art. 3 c 1</t>
  </si>
  <si>
    <t xml:space="preserve">Il compenso è diminuito sino alla metà in caso di ridotta complessità </t>
  </si>
  <si>
    <t xml:space="preserve">art. 2 c 1 </t>
  </si>
  <si>
    <t>art. 2 c 2 punto 3</t>
  </si>
  <si>
    <t>art. 2 c 2 punto 4</t>
  </si>
  <si>
    <t>art. 2 c 2 punto 5</t>
  </si>
  <si>
    <t>indicare l'ammontare</t>
  </si>
  <si>
    <t>Compensi per attività di riscossione dei canoni di locazione, rinnovi etc.</t>
  </si>
  <si>
    <t>art. 3 c 2</t>
  </si>
  <si>
    <t>Compenso straordinario variabile tra il 5% ed il 20% in caso di :</t>
  </si>
  <si>
    <t xml:space="preserve">valore econimico dell'attività </t>
  </si>
  <si>
    <t>Il compenso è determinabile in base alle percentuali di calcolo ordinarie</t>
  </si>
  <si>
    <t>Compenso ordinario per le attività di custodia dei beni immobili</t>
  </si>
  <si>
    <t>Il compenso può essere aumentato sino al 20% in casi di eccezionale difficoltà</t>
  </si>
  <si>
    <t>Totale</t>
  </si>
  <si>
    <t>VALORI</t>
  </si>
  <si>
    <t>TRIBUNALE DI PESCARA</t>
  </si>
  <si>
    <t>GIUDIZIO DI ESPROPRIAZIONE IMMOBILIARE</t>
  </si>
  <si>
    <t>Compensi spettanti ai custodi dei beni pignorati</t>
  </si>
  <si>
    <t>DECRETO 15 MAGGIO 2009  N. 80</t>
  </si>
  <si>
    <t>COMPENSO SPETTANTE AL CUSTODE DEI BENI  IMMOBILI</t>
  </si>
  <si>
    <t xml:space="preserve">                       DECRETO 15 MAGGIO 2009  N. 80</t>
  </si>
  <si>
    <t>Lotto n° 1</t>
  </si>
  <si>
    <t>Lotto n° 2</t>
  </si>
  <si>
    <t>Lotto n° 3</t>
  </si>
  <si>
    <t>Lotto n° 4</t>
  </si>
  <si>
    <t>Lotto n° 5</t>
  </si>
  <si>
    <t>TOTALE</t>
  </si>
  <si>
    <t>COMPENSO TOTALE</t>
  </si>
  <si>
    <t>LOTTO 1</t>
  </si>
  <si>
    <t>LOTTO 2</t>
  </si>
  <si>
    <t>LOTTO 3</t>
  </si>
  <si>
    <t>LOTTO 4</t>
  </si>
  <si>
    <t>LOTTO 5</t>
  </si>
  <si>
    <t>notaio</t>
  </si>
  <si>
    <t>Tribunale di Pescara</t>
  </si>
  <si>
    <t>TITOLO DELEGATO</t>
  </si>
  <si>
    <t>COGNOME E NOME</t>
  </si>
  <si>
    <t>DATA ISTANZA</t>
  </si>
  <si>
    <t>NUMERO PROCED</t>
  </si>
  <si>
    <t>CREDITORE PROC</t>
  </si>
  <si>
    <t>DEBITORE/I</t>
  </si>
  <si>
    <t>avv.</t>
  </si>
  <si>
    <t>dott.</t>
  </si>
  <si>
    <t>NUMERO LOTTI</t>
  </si>
  <si>
    <t>ESTINZIONE ANTICIPATA</t>
  </si>
  <si>
    <t>si</t>
  </si>
  <si>
    <t>no</t>
  </si>
  <si>
    <t>prima</t>
  </si>
  <si>
    <t>dopo</t>
  </si>
  <si>
    <t>CANONI RISCOSSI</t>
  </si>
  <si>
    <t>ALTRE SOMME DISTRIBUITE</t>
  </si>
  <si>
    <t>decreti trasferimento:</t>
  </si>
  <si>
    <t>canoni riscossi:</t>
  </si>
  <si>
    <t>assemblee condominiali</t>
  </si>
  <si>
    <t>regolarizzazione catastale</t>
  </si>
  <si>
    <t>asporto beni mobili</t>
  </si>
  <si>
    <t>libero</t>
  </si>
  <si>
    <t>lotto 1</t>
  </si>
  <si>
    <t>convalida licenza/sfratto</t>
  </si>
  <si>
    <t>manutenzione ord/str</t>
  </si>
  <si>
    <t>Valore di ciascun Lotto (prezzo di vendita o ultimo prezzo base)</t>
  </si>
  <si>
    <t>inserire " x " o "y"</t>
  </si>
  <si>
    <t>DECR TRASFERIM</t>
  </si>
  <si>
    <t>Art. 2 comma 1</t>
  </si>
  <si>
    <t>Valore di aggiudicazione o di assegnazione o ultimo prezzo base o valore di stima di ciascun Lotto</t>
  </si>
  <si>
    <t xml:space="preserve">Compenso1 </t>
  </si>
  <si>
    <t>Compenso2</t>
  </si>
  <si>
    <t>Compenso3</t>
  </si>
  <si>
    <t>Compenso4</t>
  </si>
  <si>
    <t>Compenso5</t>
  </si>
  <si>
    <t>TOTALE COMPENSI</t>
  </si>
  <si>
    <t>AVVISO VENDITA</t>
  </si>
  <si>
    <t>PERCENTUALE</t>
  </si>
  <si>
    <t>IMPORTO</t>
  </si>
  <si>
    <t>conferma compenso</t>
  </si>
  <si>
    <t>VALORE COMPENSI PER LOTTI</t>
  </si>
  <si>
    <t>VALORE COMPLESSIVO COMPENSI CUSTODIA</t>
  </si>
  <si>
    <t>compenso minimo</t>
  </si>
  <si>
    <t>TOTALE GENERALE</t>
  </si>
  <si>
    <t>inserire "a", "b", "c" o "d"</t>
  </si>
  <si>
    <t>SPESE IMPONIBILI</t>
  </si>
  <si>
    <t>DATA DELEGA O NOMINA CUSTODE</t>
  </si>
  <si>
    <t>STATO IMMOBILI</t>
  </si>
  <si>
    <t>ATTIVITA' AGGIUNTIVE</t>
  </si>
  <si>
    <t>minimo</t>
  </si>
  <si>
    <t>massimo</t>
  </si>
  <si>
    <t>medio</t>
  </si>
  <si>
    <t>tra minimo e medio</t>
  </si>
  <si>
    <t>tra medio e massimo</t>
  </si>
  <si>
    <t>formalità cancellate:</t>
  </si>
  <si>
    <t>rilevato che l'incarico è cessato anticipatamente prima della pubblicità e che i dati rilevanti sono i seguenti:</t>
  </si>
  <si>
    <t>rilevato che l'incarico è cessato anticipatamente dopo la pubblicità e che i dati rilevanti sono i seguenti:</t>
  </si>
  <si>
    <t>considerato che i dati rilevanti ai fini della liquidazione sono i seguenti:</t>
  </si>
  <si>
    <t>DECRETO  DI  LIQUIDAZIONE</t>
  </si>
  <si>
    <t>LIQUIDA</t>
  </si>
  <si>
    <t>per le operazioni delegate ---------------------------</t>
  </si>
  <si>
    <t>subtotale -------------------</t>
  </si>
  <si>
    <t>per la custodia ----------------------------------------</t>
  </si>
  <si>
    <t>occupato/esecutato</t>
  </si>
  <si>
    <t>occupato/terzi</t>
  </si>
  <si>
    <t>Ind. Auto Tariffa ACI</t>
  </si>
  <si>
    <t>Num.</t>
  </si>
  <si>
    <t>Km.</t>
  </si>
  <si>
    <t>€</t>
  </si>
  <si>
    <t>TRIBUNALE CIVILE  DI PESCARA</t>
  </si>
  <si>
    <t>promossa da:</t>
  </si>
  <si>
    <t>contro:</t>
  </si>
  <si>
    <t>Istanza di liquidazione competenze e spese</t>
  </si>
  <si>
    <t>Ill.mo Sig.re Giudice dell'Esecuzione,</t>
  </si>
  <si>
    <t>vendita ai sensi dell'art. 591 bis c.p.c.,</t>
  </si>
  <si>
    <t>espone quanto segue:</t>
  </si>
  <si>
    <t>5) ai fini della determinazione di quanto disposto all'art. 2 comma 1 del Decreto 15/5/09 n.80 si precisa</t>
  </si>
  <si>
    <t>che i valori incassati sono i seguenti:</t>
  </si>
  <si>
    <t>Tanto esposto il sottoscritto</t>
  </si>
  <si>
    <t>CHIEDE</t>
  </si>
  <si>
    <t>Con perfetta osservanza.</t>
  </si>
  <si>
    <t>Procedura esecutiva n.</t>
  </si>
  <si>
    <t>utilizzati per</t>
  </si>
  <si>
    <t>F.do Spese versato dall'Aggiudicatario</t>
  </si>
  <si>
    <t>Utilizzo del F.do Spese</t>
  </si>
  <si>
    <r>
      <t xml:space="preserve">Residuo F.do Spese da  + Restituire/ - Reintegrare </t>
    </r>
    <r>
      <rPr>
        <sz val="10"/>
        <rFont val="Arial"/>
        <family val="2"/>
      </rPr>
      <t>(all'aggiudicatario)</t>
    </r>
  </si>
  <si>
    <t xml:space="preserve">A CARICO DELLA PROCEDURA </t>
  </si>
  <si>
    <t>Perc. Convenuta con G.E.</t>
  </si>
  <si>
    <t>FONDO SPESE VERSATO DAI CREDITORI</t>
  </si>
  <si>
    <t>SPESE NON IMPONIBILI DOCUMENTATE</t>
  </si>
  <si>
    <t>Compenso Complessivo per Lotto</t>
  </si>
  <si>
    <r>
      <t xml:space="preserve">ONORARI PER L'ATTIVITA' DI CUSTODIA  </t>
    </r>
    <r>
      <rPr>
        <sz val="11"/>
        <rFont val="Times New Roman"/>
        <family val="1"/>
      </rPr>
      <t>D.M. 80/2009</t>
    </r>
  </si>
  <si>
    <t>TOTALE ONORARIO</t>
  </si>
  <si>
    <t xml:space="preserve"> - Onorario Complessivo</t>
  </si>
  <si>
    <t xml:space="preserve"> - Rimborso Forfettario</t>
  </si>
  <si>
    <t xml:space="preserve">di accessi con il debitore </t>
  </si>
  <si>
    <t>di visite con persone interessate</t>
  </si>
  <si>
    <t>Numero totali di visite</t>
  </si>
  <si>
    <t xml:space="preserve">Distanza in Km. a/r per raggiungere l'immobile </t>
  </si>
  <si>
    <t>Totale Indennità</t>
  </si>
  <si>
    <r>
      <t xml:space="preserve">Km. Complessivi percorsi </t>
    </r>
    <r>
      <rPr>
        <sz val="8"/>
        <rFont val="Arial"/>
        <family val="2"/>
      </rPr>
      <t>(distanza * numero di visite)</t>
    </r>
  </si>
  <si>
    <t>Pedaggi autostradali</t>
  </si>
  <si>
    <t>Indennità di viaggio per Immobili fuori Comune</t>
  </si>
  <si>
    <t>2) il sottoscritto ha provveduto: ad esperire tutte le indagini ipotecarie, catastali e di stato civile</t>
  </si>
  <si>
    <t xml:space="preserve">a effettuare il primo accesso presso l'immobile pignorato; a redigere gli avvisi di vendita senza e con incanto </t>
  </si>
  <si>
    <t>4) Il sottoscritto Professionista ha provveduto alla esecuzione delle formalità di: registrazione, trascrizione e voltura</t>
  </si>
  <si>
    <t>catastale del Decreto  di Trasferimento e cancellazione delle formalità pregiudizievoli gravanti su quanto compravenduto.</t>
  </si>
  <si>
    <t xml:space="preserve">7) i creditori  hanno anticipato la complessiva somma di </t>
  </si>
  <si>
    <t>e le spese per la procedura indicata secondo i prospetti di che a seguito.</t>
  </si>
  <si>
    <t>1) l'espropriazione immobiliare riguarda numero</t>
  </si>
  <si>
    <t>Lotti;</t>
  </si>
  <si>
    <t>SALDO DI FINE PERIODO</t>
  </si>
  <si>
    <t>Pr.</t>
  </si>
  <si>
    <r>
      <t xml:space="preserve">6) </t>
    </r>
    <r>
      <rPr>
        <i/>
        <sz val="10"/>
        <rFont val="Arial"/>
        <family val="2"/>
      </rPr>
      <t>sono</t>
    </r>
    <r>
      <rPr>
        <b/>
        <i/>
        <sz val="10"/>
        <rFont val="Arial"/>
        <family val="2"/>
      </rPr>
      <t>/non sono</t>
    </r>
    <r>
      <rPr>
        <sz val="10"/>
        <rFont val="Arial"/>
      </rPr>
      <t xml:space="preserve"> stati incassati canoni di locazione. </t>
    </r>
  </si>
  <si>
    <r>
      <t xml:space="preserve"> 8) le attività di custodia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non hanno/</t>
    </r>
    <r>
      <rPr>
        <i/>
        <sz val="10"/>
        <rFont val="Arial"/>
        <family val="2"/>
      </rPr>
      <t>hanno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comportato difficoltà eccezionali, in quanto….</t>
    </r>
  </si>
  <si>
    <t>RIMBORSO SPESE FORFETARIO 15%</t>
  </si>
  <si>
    <t xml:space="preserve">  su compenso DM 313</t>
  </si>
  <si>
    <t>Inattiva</t>
  </si>
  <si>
    <t>Art. 2</t>
  </si>
  <si>
    <t>b) 1</t>
  </si>
  <si>
    <t>b) 2</t>
  </si>
  <si>
    <t>b) 3</t>
  </si>
  <si>
    <t>b) 4</t>
  </si>
  <si>
    <t>a) 1</t>
  </si>
  <si>
    <t>a) 2</t>
  </si>
  <si>
    <t>a) 3</t>
  </si>
  <si>
    <t>a) 4</t>
  </si>
  <si>
    <t>c) 1</t>
  </si>
  <si>
    <t>c) 2</t>
  </si>
  <si>
    <t>c) 3</t>
  </si>
  <si>
    <t>c) 4</t>
  </si>
  <si>
    <t xml:space="preserve">Prezzo di aggiudicazione o valore di assegnazione è pari o inferiore a euro </t>
  </si>
  <si>
    <t>Attività comprese tra il conferimento di incarico e redazione avviso di vendita</t>
  </si>
  <si>
    <t>Attività svolte nella fase di distribuzione della somma ricavata</t>
  </si>
  <si>
    <t xml:space="preserve">Prezzo di aggiudicazione o valore di assegnazione maggiore di euro </t>
  </si>
  <si>
    <t>Prezzo di aggiudicazione o valore di assegnazione maggiore di 100.000 e fino a €</t>
  </si>
  <si>
    <t>In caso di particolare complessità il compenso del co. 1 può essere aumentato fino al 60%</t>
  </si>
  <si>
    <t>In caso di particolare semplicità il compenso del co. 1 può essere ridotto fino al 60%</t>
  </si>
  <si>
    <t>Rimborso forfettario nella misura del 10% del compenso complessivo</t>
  </si>
  <si>
    <t>Rimborso spese effettivamente sostenute e documentate</t>
  </si>
  <si>
    <t>Rimborso spese per ausiliari della procedura</t>
  </si>
  <si>
    <t>L'ammontare del compenso non può essere mai superiore al 40% del prezzo di aggiudicazione</t>
  </si>
  <si>
    <t>o valore di assegnazione</t>
  </si>
  <si>
    <t>Valore di eventuali acconto sul compenso finale</t>
  </si>
  <si>
    <t>conto del prezzo dell'ultimo esperimento di vendita o in mancanza del valore di stima</t>
  </si>
  <si>
    <t>Se non vi è agiudicazione /assegnazione del bene ai fini della liquidazione del compenso si tiene</t>
  </si>
  <si>
    <t>Prezzo di vendita o aggiudicazione o in mancanza ultimo prezzo si avviso di vendita o di stima</t>
  </si>
  <si>
    <t>Lotto 1</t>
  </si>
  <si>
    <t>Lotto 2</t>
  </si>
  <si>
    <t>Lotto 3</t>
  </si>
  <si>
    <t>Lotto 4</t>
  </si>
  <si>
    <t>Lotto 5</t>
  </si>
  <si>
    <t>Percentuale di incremento</t>
  </si>
  <si>
    <t>Percentuale di riduzione</t>
  </si>
  <si>
    <t>Base di calcolo</t>
  </si>
  <si>
    <t xml:space="preserve">Compenso maturato </t>
  </si>
  <si>
    <t xml:space="preserve">Test verifica superamento 40% </t>
  </si>
  <si>
    <t>Complesso +60%</t>
  </si>
  <si>
    <t>Semplice -60%</t>
  </si>
  <si>
    <t>Aggiudicatario</t>
  </si>
  <si>
    <t>No aggiudicazione</t>
  </si>
  <si>
    <t>Salvaguardia 40%</t>
  </si>
  <si>
    <t>Rimborsi</t>
  </si>
  <si>
    <t>Attività successive l'avviso di vendita e fino a aggiudicazione/assegnazione</t>
  </si>
  <si>
    <t>1. Punto</t>
  </si>
  <si>
    <t>2. Punto</t>
  </si>
  <si>
    <t>3. Punto</t>
  </si>
  <si>
    <t>4. Punto</t>
  </si>
  <si>
    <t>5. Punto</t>
  </si>
  <si>
    <t>6. Punto</t>
  </si>
  <si>
    <t>7. Punto</t>
  </si>
  <si>
    <t>8. Punto</t>
  </si>
  <si>
    <t>Attività svolte nella fase del trasferimento della proprietà; 1/2 del compenso</t>
  </si>
  <si>
    <t>Spettante solo nel caso vi siano più piani di riparto:</t>
  </si>
  <si>
    <t>Valore Compl.</t>
  </si>
  <si>
    <t>RICAVATO o ULTIMO VALORE D'ASTA</t>
  </si>
  <si>
    <t xml:space="preserve">COMPENSO DEL PROFESSIONISTA DELEGATO  </t>
  </si>
  <si>
    <t xml:space="preserve">  A CARICO DELLA PROCEDURA</t>
  </si>
  <si>
    <t xml:space="preserve">  A CARICO DELL' AGGIUDICATARIO</t>
  </si>
  <si>
    <t xml:space="preserve"> - DI CUI</t>
  </si>
  <si>
    <t>Num masse/riparto</t>
  </si>
  <si>
    <t>Num. Decr. Trasf.</t>
  </si>
  <si>
    <t>Domande di annotazione presso RR.II. ( n.1 formalità = € 20,00)</t>
  </si>
  <si>
    <t>Domande Annotaz. RR II</t>
  </si>
  <si>
    <t>Valore dei Lotti inseriti in un unico decreto</t>
  </si>
  <si>
    <t>Parziale</t>
  </si>
  <si>
    <t>1/2 del compenso relativo alla fase del trasferimento della proprietà (a,b,c  3)</t>
  </si>
  <si>
    <t>Eccezionale complessità e/o difficoltà</t>
  </si>
  <si>
    <r>
      <t xml:space="preserve">Residuo F.do Spese da  + Restituire/ - Reintegrare </t>
    </r>
    <r>
      <rPr>
        <sz val="10"/>
        <rFont val="Arial"/>
        <family val="2"/>
      </rPr>
      <t>(Creditore Diligente)</t>
    </r>
  </si>
  <si>
    <t>Spese generali su domande di annotazione</t>
  </si>
  <si>
    <t>Spese generali su 1/2 del compenso</t>
  </si>
  <si>
    <t xml:space="preserve"> 3) a seguito di gare sono stati aggiudicti i beni immobili oggetto della presente procedura ai prezzi di seguito indicati;</t>
  </si>
  <si>
    <t xml:space="preserve">che la S.V. ILL.ma, nel rispetto di quanto disposto dal D.M. 227/2015 e dal D.M. 80/2009 voglia liquidare l'onorario </t>
  </si>
  <si>
    <t xml:space="preserve">Nel caso di un solo lotto aggiudicato da un offerente indicare 0 nella casella sottostante Lotto 1; </t>
  </si>
  <si>
    <t>Nel caso di più lotti aggiudicati da un unico offerente nella stessa asta indicare 0 nella casella sottostnte ciascun Lotto aggiudicato</t>
  </si>
  <si>
    <t>Nel caso di più lotti aggiudicati da più offerenti indicare 1 nella casella sottostante ciscun Lotto aggiudicato</t>
  </si>
  <si>
    <t>Spese</t>
  </si>
  <si>
    <t>Tot comp</t>
  </si>
  <si>
    <t>comp-spese</t>
  </si>
  <si>
    <r>
      <t xml:space="preserve">ONORARIO PER L'ATTIVITA' DI PROFESSIONISTA DELEGATO   </t>
    </r>
    <r>
      <rPr>
        <sz val="11"/>
        <rFont val="Times New Roman"/>
        <family val="1"/>
      </rPr>
      <t>D.M. 227/2015</t>
    </r>
  </si>
  <si>
    <t>ONORARIO A CARICO DELLA PROCEDURA</t>
  </si>
  <si>
    <t>RIMBORSO FORFETTARIO DELLE SPESE GENERALI</t>
  </si>
  <si>
    <t>Aliq. Cassa Prev.</t>
  </si>
  <si>
    <t>Aliquota IVA</t>
  </si>
  <si>
    <t>I.V.A.</t>
  </si>
  <si>
    <t>RIMBORSO SPESE DOCUMENTATE A CARICO PROCEDURA</t>
  </si>
  <si>
    <t>C.A.P.</t>
  </si>
  <si>
    <t>Imponibile I.V.A.</t>
  </si>
  <si>
    <t>rimb forf (10%) --------------------------------------</t>
  </si>
  <si>
    <t>spese imponibili --------------------------------------</t>
  </si>
  <si>
    <t>totale onorario -------------------</t>
  </si>
  <si>
    <t>TOTALE   S.E.&amp; O.</t>
  </si>
  <si>
    <t xml:space="preserve"> - Onorario </t>
  </si>
  <si>
    <r>
      <t xml:space="preserve"> - Domande di annotazione RR.II.</t>
    </r>
    <r>
      <rPr>
        <sz val="7"/>
        <rFont val="Times New Roman"/>
        <family val="1"/>
      </rPr>
      <t xml:space="preserve"> ( n.1 form.tà = € 20,00)</t>
    </r>
  </si>
  <si>
    <t>LOTTO U.</t>
  </si>
  <si>
    <t xml:space="preserve"> - Rimborso Forfettario su Onorario</t>
  </si>
  <si>
    <t xml:space="preserve"> - Rimborso Forfettario su RR II</t>
  </si>
  <si>
    <t>TOTALE RIMB. FORF. + SPESE</t>
  </si>
  <si>
    <t>Lotto Aggiud.</t>
  </si>
  <si>
    <t xml:space="preserve">VANNO COMPILATI I CAMPI DI COLORE AZZURRO; </t>
  </si>
  <si>
    <t>da conversione:</t>
  </si>
  <si>
    <t>da decadenza aggiudicatari:</t>
  </si>
  <si>
    <t>Totale somme oggetto di distribuzione</t>
  </si>
  <si>
    <t>Subtotale</t>
  </si>
  <si>
    <t>compendio  pignorato  nella  procedura  in oggetto  e professionista  delegato  alle  operazioni di</t>
  </si>
  <si>
    <t>Il Professionista Delegato</t>
  </si>
  <si>
    <t xml:space="preserve"> …………………………….</t>
  </si>
  <si>
    <t>Rendiconto del fondo spese   EI 128/08</t>
  </si>
  <si>
    <t>UNICREDIT CREDIT MANAGEMENT BANK s.p.a.</t>
  </si>
  <si>
    <t>37/2011</t>
  </si>
  <si>
    <t>Versamento fondo spese BPER</t>
  </si>
  <si>
    <t>Racc. Primo accesso</t>
  </si>
  <si>
    <t>Astegiudiziarie online</t>
  </si>
  <si>
    <t>PIEMME spa</t>
  </si>
  <si>
    <t>PescarAffari</t>
  </si>
  <si>
    <t>GAP INFORMATICA spa</t>
  </si>
  <si>
    <t>Sospesa DOPO la redaz avv di vendita</t>
  </si>
  <si>
    <t>Sospesa FINO alla redaz avv di vendita</t>
  </si>
  <si>
    <t>PILONE GIULIANO</t>
  </si>
  <si>
    <t>SPINACI</t>
  </si>
  <si>
    <t>Totale onorario con rimb. Spese a carico del cred. Proc./Procedura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</si>
</sst>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5" formatCode="_-[$€]\ * #,##0.00_-;\-[$€]\ * #,##0.00_-;_-[$€]\ * &quot;-&quot;??_-;_-@_-"/>
    <numFmt numFmtId="166" formatCode="&quot;€&quot;\ #,##0.00"/>
    <numFmt numFmtId="173" formatCode="_-* #,##0_-;\-* #,##0_-;_-* &quot;-&quot;??_-;_-@_-"/>
  </numFmts>
  <fonts count="8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56"/>
      <name val="Arial"/>
      <family val="2"/>
    </font>
    <font>
      <b/>
      <sz val="8"/>
      <color indexed="56"/>
      <name val="MS Sans Serif"/>
    </font>
    <font>
      <sz val="8"/>
      <color indexed="56"/>
      <name val="MS Sans Serif"/>
      <family val="2"/>
    </font>
    <font>
      <b/>
      <u/>
      <sz val="8"/>
      <color indexed="56"/>
      <name val="MS Sans Serif"/>
      <family val="2"/>
    </font>
    <font>
      <sz val="10"/>
      <color indexed="56"/>
      <name val="Arial"/>
      <family val="2"/>
    </font>
    <font>
      <sz val="14"/>
      <name val="Times New Roman"/>
      <family val="1"/>
    </font>
    <font>
      <b/>
      <sz val="10"/>
      <color indexed="56"/>
      <name val="MS Sans Serif"/>
    </font>
    <font>
      <b/>
      <sz val="12"/>
      <color indexed="56"/>
      <name val="MS Sans Serif"/>
    </font>
    <font>
      <sz val="10"/>
      <color indexed="56"/>
      <name val="MS Sans Serif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8"/>
      <color indexed="56"/>
      <name val="MS Sans Serif"/>
      <family val="2"/>
    </font>
    <font>
      <b/>
      <u val="singleAccounting"/>
      <sz val="8"/>
      <color indexed="56"/>
      <name val="MS Sans Serif"/>
      <family val="2"/>
    </font>
    <font>
      <b/>
      <sz val="14"/>
      <name val="Perpetua"/>
      <family val="1"/>
    </font>
    <font>
      <sz val="8"/>
      <name val="Perpetua"/>
      <family val="1"/>
    </font>
    <font>
      <sz val="12"/>
      <color indexed="56"/>
      <name val="Perpetua"/>
      <family val="1"/>
    </font>
    <font>
      <b/>
      <sz val="12"/>
      <color indexed="56"/>
      <name val="Perpetua"/>
      <family val="1"/>
    </font>
    <font>
      <sz val="10"/>
      <name val="Perpetua"/>
      <family val="1"/>
    </font>
    <font>
      <sz val="12"/>
      <name val="Perpetua"/>
      <family val="1"/>
    </font>
    <font>
      <b/>
      <sz val="12"/>
      <name val="Perpetua"/>
      <family val="1"/>
    </font>
    <font>
      <sz val="14"/>
      <name val="Perpetua"/>
      <family val="1"/>
    </font>
    <font>
      <b/>
      <sz val="10"/>
      <name val="Perpetua"/>
      <family val="1"/>
    </font>
    <font>
      <sz val="10"/>
      <color indexed="56"/>
      <name val="Perpetua"/>
      <family val="1"/>
    </font>
    <font>
      <b/>
      <u/>
      <sz val="16"/>
      <name val="Perpetua"/>
      <family val="1"/>
    </font>
    <font>
      <b/>
      <sz val="10"/>
      <color indexed="56"/>
      <name val="Perpetua"/>
      <family val="1"/>
    </font>
    <font>
      <b/>
      <sz val="14"/>
      <color indexed="56"/>
      <name val="Perpetua"/>
      <family val="1"/>
    </font>
    <font>
      <u/>
      <sz val="14"/>
      <name val="Perpetua"/>
      <family val="1"/>
    </font>
    <font>
      <b/>
      <sz val="12"/>
      <color indexed="10"/>
      <name val="Perpetua"/>
      <family val="1"/>
    </font>
    <font>
      <sz val="8"/>
      <color indexed="56"/>
      <name val="Arial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sz val="11"/>
      <name val="Calibri"/>
      <family val="2"/>
    </font>
    <font>
      <b/>
      <sz val="12"/>
      <color indexed="56"/>
      <name val="MS Sans Serif"/>
      <family val="2"/>
    </font>
    <font>
      <sz val="12"/>
      <color indexed="56"/>
      <name val="Arial"/>
      <family val="2"/>
    </font>
    <font>
      <sz val="12"/>
      <color indexed="56"/>
      <name val="MS Sans Serif"/>
      <family val="2"/>
    </font>
    <font>
      <b/>
      <sz val="10"/>
      <color indexed="56"/>
      <name val="Arial"/>
      <family val="2"/>
    </font>
    <font>
      <sz val="12"/>
      <color indexed="10"/>
      <name val="Perpetua"/>
      <family val="1"/>
    </font>
    <font>
      <sz val="9"/>
      <color indexed="10"/>
      <name val="Arial"/>
      <family val="2"/>
    </font>
    <font>
      <sz val="10"/>
      <color indexed="36"/>
      <name val="Arial"/>
      <family val="2"/>
    </font>
    <font>
      <sz val="9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u/>
      <sz val="10"/>
      <name val="Arial"/>
      <family val="2"/>
    </font>
    <font>
      <b/>
      <sz val="11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u val="singleAccounting"/>
      <sz val="10"/>
      <name val="Times New Roman"/>
      <family val="1"/>
    </font>
    <font>
      <b/>
      <sz val="12"/>
      <color indexed="55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theme="0" tint="-4.9989318521683403E-2"/>
      <name val="Arial"/>
      <family val="2"/>
    </font>
    <font>
      <i/>
      <sz val="10"/>
      <color theme="1" tint="0.34998626667073579"/>
      <name val="Arial"/>
      <family val="2"/>
    </font>
    <font>
      <b/>
      <i/>
      <sz val="10"/>
      <color theme="1" tint="0.34998626667073579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07">
    <border>
      <left/>
      <right/>
      <top/>
      <bottom/>
      <diagonal/>
    </border>
    <border>
      <left style="double">
        <color indexed="47"/>
      </left>
      <right style="double">
        <color indexed="47"/>
      </right>
      <top style="double">
        <color indexed="47"/>
      </top>
      <bottom style="double">
        <color indexed="47"/>
      </bottom>
      <diagonal/>
    </border>
    <border>
      <left style="thick">
        <color indexed="24"/>
      </left>
      <right/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/>
      <diagonal/>
    </border>
    <border>
      <left/>
      <right style="thick">
        <color indexed="24"/>
      </right>
      <top/>
      <bottom style="thick">
        <color indexed="24"/>
      </bottom>
      <diagonal/>
    </border>
    <border>
      <left/>
      <right style="double">
        <color indexed="47"/>
      </right>
      <top style="double">
        <color indexed="47"/>
      </top>
      <bottom style="double">
        <color indexed="47"/>
      </bottom>
      <diagonal/>
    </border>
    <border>
      <left style="thick">
        <color indexed="24"/>
      </left>
      <right/>
      <top style="medium">
        <color indexed="24"/>
      </top>
      <bottom style="medium">
        <color indexed="24"/>
      </bottom>
      <diagonal/>
    </border>
    <border>
      <left style="thick">
        <color indexed="24"/>
      </left>
      <right style="medium">
        <color indexed="24"/>
      </right>
      <top style="medium">
        <color indexed="24"/>
      </top>
      <bottom style="medium">
        <color indexed="24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 style="medium">
        <color indexed="24"/>
      </right>
      <top style="medium">
        <color indexed="24"/>
      </top>
      <bottom style="medium">
        <color indexed="24"/>
      </bottom>
      <diagonal/>
    </border>
    <border>
      <left style="medium">
        <color indexed="24"/>
      </left>
      <right style="medium">
        <color indexed="24"/>
      </right>
      <top style="medium">
        <color indexed="24"/>
      </top>
      <bottom style="medium">
        <color indexed="24"/>
      </bottom>
      <diagonal/>
    </border>
    <border>
      <left style="thick">
        <color indexed="24"/>
      </left>
      <right/>
      <top style="medium">
        <color indexed="2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24"/>
      </left>
      <right/>
      <top/>
      <bottom style="medium">
        <color indexed="24"/>
      </bottom>
      <diagonal/>
    </border>
    <border>
      <left style="medium">
        <color indexed="24"/>
      </left>
      <right/>
      <top style="medium">
        <color indexed="24"/>
      </top>
      <bottom style="medium">
        <color indexed="24"/>
      </bottom>
      <diagonal/>
    </border>
    <border>
      <left style="medium">
        <color indexed="31"/>
      </left>
      <right style="medium">
        <color indexed="31"/>
      </right>
      <top style="medium">
        <color indexed="31"/>
      </top>
      <bottom style="medium">
        <color indexed="31"/>
      </bottom>
      <diagonal/>
    </border>
    <border>
      <left style="medium">
        <color indexed="24"/>
      </left>
      <right/>
      <top/>
      <bottom style="medium">
        <color indexed="24"/>
      </bottom>
      <diagonal/>
    </border>
    <border>
      <left style="thick">
        <color indexed="24"/>
      </left>
      <right style="medium">
        <color indexed="24"/>
      </right>
      <top/>
      <bottom style="medium">
        <color indexed="2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47"/>
      </left>
      <right/>
      <top style="double">
        <color indexed="47"/>
      </top>
      <bottom style="double">
        <color indexed="47"/>
      </bottom>
      <diagonal/>
    </border>
    <border>
      <left/>
      <right/>
      <top style="double">
        <color indexed="47"/>
      </top>
      <bottom style="double">
        <color indexed="4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4"/>
      </left>
      <right style="thick">
        <color indexed="24"/>
      </right>
      <top style="medium">
        <color indexed="24"/>
      </top>
      <bottom/>
      <diagonal/>
    </border>
    <border>
      <left style="medium">
        <color indexed="24"/>
      </left>
      <right style="thick">
        <color indexed="24"/>
      </right>
      <top/>
      <bottom/>
      <diagonal/>
    </border>
    <border>
      <left style="medium">
        <color indexed="24"/>
      </left>
      <right style="thick">
        <color indexed="24"/>
      </right>
      <top/>
      <bottom style="medium">
        <color indexed="24"/>
      </bottom>
      <diagonal/>
    </border>
    <border>
      <left style="medium">
        <color indexed="24"/>
      </left>
      <right style="medium">
        <color indexed="24"/>
      </right>
      <top style="medium">
        <color indexed="24"/>
      </top>
      <bottom/>
      <diagonal/>
    </border>
    <border>
      <left style="medium">
        <color indexed="24"/>
      </left>
      <right style="medium">
        <color indexed="24"/>
      </right>
      <top/>
      <bottom/>
      <diagonal/>
    </border>
    <border>
      <left style="medium">
        <color indexed="24"/>
      </left>
      <right style="medium">
        <color indexed="24"/>
      </right>
      <top/>
      <bottom style="medium">
        <color indexed="24"/>
      </bottom>
      <diagonal/>
    </border>
    <border>
      <left/>
      <right style="medium">
        <color indexed="24"/>
      </right>
      <top style="medium">
        <color indexed="24"/>
      </top>
      <bottom/>
      <diagonal/>
    </border>
    <border>
      <left/>
      <right style="medium">
        <color indexed="24"/>
      </right>
      <top/>
      <bottom style="medium">
        <color indexed="24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double">
        <color indexed="47"/>
      </left>
      <right style="double">
        <color indexed="47"/>
      </right>
      <top style="double">
        <color indexed="47"/>
      </top>
      <bottom/>
      <diagonal/>
    </border>
    <border>
      <left style="double">
        <color indexed="47"/>
      </left>
      <right style="double">
        <color indexed="47"/>
      </right>
      <top/>
      <bottom/>
      <diagonal/>
    </border>
    <border>
      <left style="double">
        <color indexed="47"/>
      </left>
      <right style="double">
        <color indexed="47"/>
      </right>
      <top/>
      <bottom style="double">
        <color indexed="47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/>
      <right style="medium">
        <color theme="3" tint="0.39994506668294322"/>
      </right>
      <top/>
      <bottom style="thin">
        <color indexed="64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/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medium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/>
      <bottom/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/>
      <diagonal/>
    </border>
    <border>
      <left/>
      <right style="medium">
        <color theme="3" tint="0.39991454817346722"/>
      </right>
      <top style="thin">
        <color theme="3" tint="0.39994506668294322"/>
      </top>
      <bottom/>
      <diagonal/>
    </border>
    <border>
      <left style="medium">
        <color theme="3" tint="0.39991454817346722"/>
      </left>
      <right style="hair">
        <color theme="3" tint="0.39994506668294322"/>
      </right>
      <top style="medium">
        <color theme="3" tint="0.39988402966399123"/>
      </top>
      <bottom style="medium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39988402966399123"/>
      </top>
      <bottom style="medium">
        <color theme="3" tint="0.39991454817346722"/>
      </bottom>
      <diagonal/>
    </border>
    <border>
      <left style="hair">
        <color theme="3" tint="0.39994506668294322"/>
      </left>
      <right style="medium">
        <color theme="3" tint="0.39991454817346722"/>
      </right>
      <top style="medium">
        <color theme="3" tint="0.39988402966399123"/>
      </top>
      <bottom style="medium">
        <color theme="3" tint="0.39991454817346722"/>
      </bottom>
      <diagonal/>
    </border>
    <border>
      <left style="medium">
        <color theme="3" tint="0.39991454817346722"/>
      </left>
      <right style="hair">
        <color theme="3" tint="0.39994506668294322"/>
      </right>
      <top style="medium">
        <color theme="3" tint="0.399914548173467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39991454817346722"/>
      </top>
      <bottom style="thin">
        <color theme="3" tint="0.39994506668294322"/>
      </bottom>
      <diagonal/>
    </border>
    <border>
      <left style="hair">
        <color theme="3" tint="0.39994506668294322"/>
      </left>
      <right style="medium">
        <color theme="3" tint="0.39991454817346722"/>
      </right>
      <top style="medium">
        <color theme="3" tint="0.39991454817346722"/>
      </top>
      <bottom style="thin">
        <color theme="3" tint="0.39994506668294322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 style="medium">
        <color theme="5" tint="0.59996337778862885"/>
      </bottom>
      <diagonal/>
    </border>
    <border>
      <left/>
      <right/>
      <top style="medium">
        <color theme="5" tint="0.59996337778862885"/>
      </top>
      <bottom style="medium">
        <color theme="5" tint="0.59996337778862885"/>
      </bottom>
      <diagonal/>
    </border>
    <border>
      <left/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1454817346722"/>
      </bottom>
      <diagonal/>
    </border>
    <border>
      <left/>
      <right/>
      <top style="medium">
        <color theme="3" tint="0.39994506668294322"/>
      </top>
      <bottom style="medium">
        <color theme="3" tint="0.399914548173467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1454817346722"/>
      </bottom>
      <diagonal/>
    </border>
    <border>
      <left style="medium">
        <color theme="3" tint="0.39994506668294322"/>
      </left>
      <right/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/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1">
    <xf numFmtId="0" fontId="0" fillId="0" borderId="0" xfId="0"/>
    <xf numFmtId="43" fontId="0" fillId="0" borderId="0" xfId="2" applyFont="1"/>
    <xf numFmtId="0" fontId="0" fillId="0" borderId="0" xfId="0" applyAlignment="1">
      <alignment horizontal="center"/>
    </xf>
    <xf numFmtId="43" fontId="3" fillId="0" borderId="1" xfId="2" applyFont="1" applyBorder="1"/>
    <xf numFmtId="3" fontId="5" fillId="0" borderId="0" xfId="0" applyNumberFormat="1" applyFont="1"/>
    <xf numFmtId="0" fontId="5" fillId="0" borderId="0" xfId="0" applyFont="1"/>
    <xf numFmtId="3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5" fillId="0" borderId="2" xfId="0" applyNumberFormat="1" applyFont="1" applyBorder="1"/>
    <xf numFmtId="0" fontId="0" fillId="0" borderId="3" xfId="0" applyBorder="1"/>
    <xf numFmtId="0" fontId="0" fillId="0" borderId="4" xfId="0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/>
    <xf numFmtId="0" fontId="9" fillId="0" borderId="5" xfId="0" applyFont="1" applyBorder="1"/>
    <xf numFmtId="4" fontId="7" fillId="0" borderId="0" xfId="0" applyNumberFormat="1" applyFont="1" applyBorder="1" applyAlignment="1">
      <alignment horizontal="left"/>
    </xf>
    <xf numFmtId="9" fontId="7" fillId="0" borderId="0" xfId="3" applyFont="1" applyBorder="1" applyAlignment="1">
      <alignment horizontal="left"/>
    </xf>
    <xf numFmtId="0" fontId="9" fillId="0" borderId="3" xfId="0" applyFont="1" applyBorder="1"/>
    <xf numFmtId="0" fontId="9" fillId="0" borderId="4" xfId="0" applyFont="1" applyBorder="1"/>
    <xf numFmtId="0" fontId="9" fillId="0" borderId="6" xfId="0" applyFont="1" applyBorder="1"/>
    <xf numFmtId="3" fontId="13" fillId="0" borderId="0" xfId="0" applyNumberFormat="1" applyFont="1" applyBorder="1"/>
    <xf numFmtId="0" fontId="13" fillId="0" borderId="0" xfId="0" applyFont="1" applyBorder="1"/>
    <xf numFmtId="4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Border="1"/>
    <xf numFmtId="3" fontId="11" fillId="0" borderId="0" xfId="0" applyNumberFormat="1" applyFont="1" applyBorder="1"/>
    <xf numFmtId="0" fontId="14" fillId="0" borderId="0" xfId="0" applyFont="1"/>
    <xf numFmtId="4" fontId="9" fillId="0" borderId="2" xfId="0" applyNumberFormat="1" applyFont="1" applyBorder="1"/>
    <xf numFmtId="3" fontId="9" fillId="0" borderId="2" xfId="0" applyNumberFormat="1" applyFont="1" applyBorder="1"/>
    <xf numFmtId="3" fontId="11" fillId="0" borderId="2" xfId="0" applyNumberFormat="1" applyFont="1" applyBorder="1"/>
    <xf numFmtId="4" fontId="12" fillId="0" borderId="0" xfId="0" applyNumberFormat="1" applyFont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3" fontId="0" fillId="2" borderId="1" xfId="2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3" fontId="1" fillId="0" borderId="1" xfId="2" applyFont="1" applyBorder="1"/>
    <xf numFmtId="43" fontId="4" fillId="0" borderId="7" xfId="0" applyNumberFormat="1" applyFont="1" applyBorder="1" applyAlignment="1"/>
    <xf numFmtId="3" fontId="7" fillId="0" borderId="2" xfId="0" applyNumberFormat="1" applyFont="1" applyBorder="1" applyAlignment="1"/>
    <xf numFmtId="3" fontId="7" fillId="0" borderId="0" xfId="0" applyNumberFormat="1" applyFont="1" applyBorder="1" applyAlignment="1"/>
    <xf numFmtId="3" fontId="7" fillId="0" borderId="5" xfId="0" applyNumberFormat="1" applyFont="1" applyBorder="1" applyAlignment="1"/>
    <xf numFmtId="0" fontId="10" fillId="0" borderId="0" xfId="0" applyFont="1" applyFill="1" applyBorder="1" applyProtection="1"/>
    <xf numFmtId="0" fontId="0" fillId="0" borderId="0" xfId="0" applyFill="1" applyBorder="1"/>
    <xf numFmtId="0" fontId="14" fillId="0" borderId="0" xfId="0" applyFont="1" applyFill="1" applyBorder="1"/>
    <xf numFmtId="165" fontId="20" fillId="0" borderId="0" xfId="1" applyFont="1" applyBorder="1" applyAlignment="1">
      <alignment horizontal="left"/>
    </xf>
    <xf numFmtId="165" fontId="21" fillId="0" borderId="0" xfId="1" applyFont="1" applyBorder="1" applyAlignment="1">
      <alignment horizontal="left"/>
    </xf>
    <xf numFmtId="3" fontId="7" fillId="0" borderId="3" xfId="0" applyNumberFormat="1" applyFont="1" applyBorder="1" applyAlignment="1"/>
    <xf numFmtId="3" fontId="7" fillId="0" borderId="4" xfId="0" applyNumberFormat="1" applyFont="1" applyBorder="1" applyAlignment="1"/>
    <xf numFmtId="3" fontId="7" fillId="0" borderId="6" xfId="0" applyNumberFormat="1" applyFont="1" applyBorder="1" applyAlignment="1"/>
    <xf numFmtId="9" fontId="7" fillId="0" borderId="0" xfId="3" applyFont="1" applyBorder="1" applyAlignment="1"/>
    <xf numFmtId="165" fontId="20" fillId="0" borderId="0" xfId="1" applyFont="1" applyBorder="1" applyAlignment="1"/>
    <xf numFmtId="0" fontId="17" fillId="0" borderId="0" xfId="0" applyFont="1" applyAlignment="1"/>
    <xf numFmtId="0" fontId="16" fillId="0" borderId="0" xfId="0" applyFont="1" applyFill="1" applyBorder="1" applyAlignment="1">
      <alignment horizontal="center"/>
    </xf>
    <xf numFmtId="43" fontId="24" fillId="0" borderId="8" xfId="2" applyNumberFormat="1" applyFont="1" applyBorder="1" applyAlignment="1"/>
    <xf numFmtId="165" fontId="25" fillId="0" borderId="9" xfId="1" applyFont="1" applyFill="1" applyBorder="1" applyAlignment="1"/>
    <xf numFmtId="0" fontId="23" fillId="0" borderId="0" xfId="0" applyFont="1"/>
    <xf numFmtId="0" fontId="26" fillId="0" borderId="0" xfId="0" applyFont="1"/>
    <xf numFmtId="165" fontId="27" fillId="0" borderId="0" xfId="1" applyFont="1"/>
    <xf numFmtId="165" fontId="27" fillId="0" borderId="0" xfId="1" applyFont="1" applyFill="1" applyAlignment="1">
      <alignment horizontal="center"/>
    </xf>
    <xf numFmtId="43" fontId="24" fillId="0" borderId="10" xfId="2" applyNumberFormat="1" applyFont="1" applyBorder="1" applyAlignment="1"/>
    <xf numFmtId="165" fontId="27" fillId="0" borderId="10" xfId="1" applyFont="1" applyBorder="1"/>
    <xf numFmtId="165" fontId="27" fillId="0" borderId="11" xfId="1" applyFont="1" applyFill="1" applyBorder="1" applyAlignment="1">
      <alignment horizontal="center"/>
    </xf>
    <xf numFmtId="165" fontId="28" fillId="0" borderId="0" xfId="1" applyFont="1" applyFill="1" applyAlignment="1">
      <alignment horizontal="center"/>
    </xf>
    <xf numFmtId="165" fontId="28" fillId="0" borderId="12" xfId="1" applyFont="1" applyBorder="1" applyAlignment="1">
      <alignment horizontal="center"/>
    </xf>
    <xf numFmtId="165" fontId="28" fillId="0" borderId="0" xfId="1" applyFont="1" applyAlignment="1">
      <alignment horizontal="center"/>
    </xf>
    <xf numFmtId="43" fontId="24" fillId="0" borderId="8" xfId="2" applyNumberFormat="1" applyFont="1" applyFill="1" applyBorder="1" applyAlignment="1"/>
    <xf numFmtId="165" fontId="27" fillId="0" borderId="0" xfId="1" applyFont="1" applyAlignment="1">
      <alignment horizontal="center"/>
    </xf>
    <xf numFmtId="43" fontId="24" fillId="0" borderId="0" xfId="2" applyNumberFormat="1" applyFont="1" applyBorder="1" applyAlignment="1"/>
    <xf numFmtId="43" fontId="24" fillId="0" borderId="13" xfId="2" applyNumberFormat="1" applyFont="1" applyBorder="1" applyAlignment="1"/>
    <xf numFmtId="0" fontId="29" fillId="0" borderId="14" xfId="0" applyFont="1" applyBorder="1" applyAlignment="1"/>
    <xf numFmtId="165" fontId="30" fillId="0" borderId="0" xfId="1" applyFont="1" applyAlignment="1">
      <alignment horizontal="center"/>
    </xf>
    <xf numFmtId="165" fontId="26" fillId="0" borderId="0" xfId="1" applyFont="1"/>
    <xf numFmtId="165" fontId="26" fillId="0" borderId="0" xfId="1" applyFont="1" applyAlignment="1">
      <alignment horizontal="center"/>
    </xf>
    <xf numFmtId="3" fontId="31" fillId="0" borderId="2" xfId="0" applyNumberFormat="1" applyFont="1" applyBorder="1" applyAlignment="1"/>
    <xf numFmtId="3" fontId="31" fillId="0" borderId="15" xfId="0" applyNumberFormat="1" applyFont="1" applyBorder="1" applyAlignment="1"/>
    <xf numFmtId="0" fontId="26" fillId="3" borderId="16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43" fontId="25" fillId="3" borderId="8" xfId="2" applyNumberFormat="1" applyFont="1" applyFill="1" applyBorder="1" applyAlignment="1"/>
    <xf numFmtId="165" fontId="26" fillId="3" borderId="10" xfId="1" applyFont="1" applyFill="1" applyBorder="1"/>
    <xf numFmtId="43" fontId="25" fillId="0" borderId="0" xfId="2" applyNumberFormat="1" applyFont="1" applyFill="1" applyBorder="1" applyAlignment="1"/>
    <xf numFmtId="165" fontId="26" fillId="0" borderId="0" xfId="1" applyFont="1" applyFill="1" applyBorder="1"/>
    <xf numFmtId="165" fontId="25" fillId="0" borderId="0" xfId="1" applyFont="1" applyFill="1" applyBorder="1" applyAlignment="1"/>
    <xf numFmtId="43" fontId="25" fillId="3" borderId="10" xfId="2" applyNumberFormat="1" applyFont="1" applyFill="1" applyBorder="1" applyAlignment="1"/>
    <xf numFmtId="43" fontId="25" fillId="3" borderId="16" xfId="2" applyNumberFormat="1" applyFont="1" applyFill="1" applyBorder="1" applyAlignment="1"/>
    <xf numFmtId="43" fontId="25" fillId="0" borderId="9" xfId="2" applyNumberFormat="1" applyFont="1" applyBorder="1" applyAlignment="1"/>
    <xf numFmtId="0" fontId="26" fillId="0" borderId="0" xfId="0" applyFont="1" applyFill="1" applyBorder="1" applyAlignment="1">
      <alignment horizontal="left"/>
    </xf>
    <xf numFmtId="3" fontId="33" fillId="0" borderId="2" xfId="0" applyNumberFormat="1" applyFont="1" applyBorder="1" applyAlignment="1"/>
    <xf numFmtId="3" fontId="33" fillId="0" borderId="15" xfId="0" applyNumberFormat="1" applyFont="1" applyBorder="1" applyAlignment="1"/>
    <xf numFmtId="165" fontId="27" fillId="0" borderId="10" xfId="1" applyFont="1" applyFill="1" applyBorder="1" applyAlignment="1">
      <alignment horizontal="center"/>
    </xf>
    <xf numFmtId="165" fontId="27" fillId="3" borderId="10" xfId="1" applyFont="1" applyFill="1" applyBorder="1"/>
    <xf numFmtId="165" fontId="27" fillId="3" borderId="11" xfId="1" applyFont="1" applyFill="1" applyBorder="1" applyAlignment="1">
      <alignment horizontal="center"/>
    </xf>
    <xf numFmtId="165" fontId="27" fillId="0" borderId="12" xfId="1" applyFont="1" applyBorder="1" applyAlignment="1">
      <alignment horizontal="center"/>
    </xf>
    <xf numFmtId="165" fontId="27" fillId="0" borderId="10" xfId="1" applyFont="1" applyBorder="1" applyAlignment="1">
      <alignment horizontal="center"/>
    </xf>
    <xf numFmtId="165" fontId="28" fillId="0" borderId="17" xfId="1" applyFont="1" applyBorder="1"/>
    <xf numFmtId="0" fontId="30" fillId="3" borderId="16" xfId="0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30" fillId="3" borderId="12" xfId="0" applyFont="1" applyFill="1" applyBorder="1" applyAlignment="1">
      <alignment horizontal="left"/>
    </xf>
    <xf numFmtId="0" fontId="31" fillId="0" borderId="0" xfId="0" applyFont="1"/>
    <xf numFmtId="0" fontId="33" fillId="0" borderId="0" xfId="0" applyFont="1"/>
    <xf numFmtId="0" fontId="23" fillId="0" borderId="0" xfId="0" applyFont="1" applyProtection="1">
      <protection locked="0"/>
    </xf>
    <xf numFmtId="0" fontId="4" fillId="0" borderId="0" xfId="0" applyFont="1"/>
    <xf numFmtId="0" fontId="38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8" fillId="0" borderId="0" xfId="0" applyFont="1" applyBorder="1" applyAlignment="1">
      <alignment horizontal="center"/>
    </xf>
    <xf numFmtId="166" fontId="38" fillId="0" borderId="0" xfId="0" applyNumberFormat="1" applyFont="1" applyFill="1" applyAlignment="1">
      <alignment horizontal="center"/>
    </xf>
    <xf numFmtId="0" fontId="39" fillId="0" borderId="0" xfId="0" applyFont="1"/>
    <xf numFmtId="0" fontId="40" fillId="0" borderId="0" xfId="0" applyFont="1"/>
    <xf numFmtId="3" fontId="13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3" fontId="7" fillId="0" borderId="5" xfId="0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43" fontId="34" fillId="3" borderId="15" xfId="2" applyNumberFormat="1" applyFont="1" applyFill="1" applyBorder="1" applyAlignment="1"/>
    <xf numFmtId="165" fontId="26" fillId="3" borderId="14" xfId="1" applyFont="1" applyFill="1" applyBorder="1"/>
    <xf numFmtId="0" fontId="26" fillId="3" borderId="18" xfId="0" applyFont="1" applyFill="1" applyBorder="1" applyAlignment="1">
      <alignment horizontal="left"/>
    </xf>
    <xf numFmtId="0" fontId="23" fillId="0" borderId="0" xfId="0" applyFont="1" applyBorder="1"/>
    <xf numFmtId="165" fontId="25" fillId="4" borderId="19" xfId="1" applyFont="1" applyFill="1" applyBorder="1" applyAlignment="1" applyProtection="1"/>
    <xf numFmtId="165" fontId="25" fillId="4" borderId="9" xfId="1" applyFont="1" applyFill="1" applyBorder="1" applyAlignment="1" applyProtection="1">
      <alignment horizontal="center"/>
    </xf>
    <xf numFmtId="165" fontId="28" fillId="4" borderId="12" xfId="1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0" fillId="5" borderId="0" xfId="0" applyFill="1"/>
    <xf numFmtId="0" fontId="9" fillId="6" borderId="0" xfId="0" applyFont="1" applyFill="1" applyBorder="1"/>
    <xf numFmtId="0" fontId="0" fillId="0" borderId="20" xfId="0" applyBorder="1"/>
    <xf numFmtId="0" fontId="0" fillId="6" borderId="20" xfId="0" applyFill="1" applyBorder="1"/>
    <xf numFmtId="0" fontId="0" fillId="0" borderId="21" xfId="0" applyBorder="1"/>
    <xf numFmtId="0" fontId="0" fillId="0" borderId="22" xfId="0" applyBorder="1"/>
    <xf numFmtId="0" fontId="9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166" fontId="44" fillId="0" borderId="0" xfId="0" applyNumberFormat="1" applyFont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" fontId="38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right"/>
    </xf>
    <xf numFmtId="9" fontId="28" fillId="0" borderId="12" xfId="3" applyFont="1" applyBorder="1" applyAlignment="1">
      <alignment horizontal="center"/>
    </xf>
    <xf numFmtId="44" fontId="28" fillId="0" borderId="12" xfId="1" applyNumberFormat="1" applyFont="1" applyBorder="1" applyAlignment="1">
      <alignment horizontal="center"/>
    </xf>
    <xf numFmtId="0" fontId="26" fillId="0" borderId="23" xfId="0" applyFont="1" applyBorder="1" applyAlignment="1">
      <alignment horizontal="right"/>
    </xf>
    <xf numFmtId="165" fontId="28" fillId="0" borderId="23" xfId="1" applyFont="1" applyBorder="1" applyAlignment="1">
      <alignment horizontal="center"/>
    </xf>
    <xf numFmtId="0" fontId="28" fillId="0" borderId="0" xfId="0" applyFont="1" applyAlignment="1">
      <alignment horizontal="center"/>
    </xf>
    <xf numFmtId="165" fontId="45" fillId="0" borderId="0" xfId="1" applyFont="1"/>
    <xf numFmtId="0" fontId="28" fillId="0" borderId="0" xfId="0" applyFont="1" applyAlignment="1">
      <alignment horizontal="right"/>
    </xf>
    <xf numFmtId="0" fontId="47" fillId="0" borderId="0" xfId="0" applyFont="1"/>
    <xf numFmtId="166" fontId="48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left"/>
    </xf>
    <xf numFmtId="166" fontId="38" fillId="0" borderId="0" xfId="0" applyNumberFormat="1" applyFont="1" applyFill="1" applyAlignment="1">
      <alignment horizontal="left"/>
    </xf>
    <xf numFmtId="0" fontId="38" fillId="0" borderId="0" xfId="0" applyFont="1" applyFill="1" applyAlignment="1">
      <alignment horizontal="center"/>
    </xf>
    <xf numFmtId="166" fontId="38" fillId="0" borderId="0" xfId="0" applyNumberFormat="1" applyFont="1" applyAlignment="1">
      <alignment horizontal="left"/>
    </xf>
    <xf numFmtId="166" fontId="27" fillId="0" borderId="0" xfId="4" applyNumberFormat="1" applyFont="1"/>
    <xf numFmtId="166" fontId="45" fillId="0" borderId="0" xfId="4" applyNumberFormat="1" applyFont="1" applyAlignment="1">
      <alignment horizontal="center"/>
    </xf>
    <xf numFmtId="9" fontId="25" fillId="0" borderId="11" xfId="3" applyFont="1" applyFill="1" applyBorder="1" applyAlignment="1"/>
    <xf numFmtId="0" fontId="38" fillId="0" borderId="0" xfId="0" applyFont="1" applyAlignment="1">
      <alignment horizontal="center" vertical="justify"/>
    </xf>
    <xf numFmtId="0" fontId="38" fillId="0" borderId="0" xfId="0" applyFont="1" applyAlignment="1">
      <alignment horizontal="left" vertical="justify"/>
    </xf>
    <xf numFmtId="165" fontId="38" fillId="0" borderId="0" xfId="1" applyFont="1" applyFill="1" applyBorder="1" applyAlignment="1">
      <alignment horizontal="center"/>
    </xf>
    <xf numFmtId="165" fontId="38" fillId="0" borderId="0" xfId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0" fontId="38" fillId="0" borderId="0" xfId="0" applyFont="1" applyAlignment="1">
      <alignment horizontal="left" indent="4"/>
    </xf>
    <xf numFmtId="0" fontId="38" fillId="0" borderId="0" xfId="0" applyFont="1" applyAlignment="1">
      <alignment horizontal="right" vertical="justify"/>
    </xf>
    <xf numFmtId="0" fontId="38" fillId="0" borderId="0" xfId="0" applyFont="1" applyFill="1" applyAlignment="1">
      <alignment horizontal="left" vertical="justify"/>
    </xf>
    <xf numFmtId="0" fontId="38" fillId="0" borderId="0" xfId="0" applyFont="1" applyFill="1"/>
    <xf numFmtId="166" fontId="48" fillId="0" borderId="0" xfId="0" applyNumberFormat="1" applyFont="1" applyFill="1" applyAlignment="1">
      <alignment horizontal="center" vertical="justify"/>
    </xf>
    <xf numFmtId="166" fontId="38" fillId="0" borderId="0" xfId="0" applyNumberFormat="1" applyFont="1" applyFill="1" applyAlignment="1">
      <alignment horizontal="left" vertical="justify"/>
    </xf>
    <xf numFmtId="1" fontId="0" fillId="4" borderId="24" xfId="0" applyNumberFormat="1" applyFill="1" applyBorder="1" applyAlignment="1">
      <alignment horizontal="center" vertical="justify"/>
    </xf>
    <xf numFmtId="49" fontId="37" fillId="0" borderId="0" xfId="0" applyNumberFormat="1" applyFont="1" applyFill="1" applyProtection="1"/>
    <xf numFmtId="0" fontId="38" fillId="0" borderId="25" xfId="0" applyFont="1" applyBorder="1" applyAlignment="1">
      <alignment horizontal="left" vertical="justify"/>
    </xf>
    <xf numFmtId="166" fontId="38" fillId="0" borderId="0" xfId="0" applyNumberFormat="1" applyFont="1" applyAlignment="1">
      <alignment horizontal="right"/>
    </xf>
    <xf numFmtId="0" fontId="38" fillId="0" borderId="0" xfId="0" applyFont="1" applyBorder="1"/>
    <xf numFmtId="0" fontId="50" fillId="0" borderId="0" xfId="0" applyFont="1" applyBorder="1" applyAlignment="1">
      <alignment horizontal="center"/>
    </xf>
    <xf numFmtId="166" fontId="38" fillId="0" borderId="0" xfId="0" applyNumberFormat="1" applyFont="1" applyBorder="1"/>
    <xf numFmtId="166" fontId="50" fillId="0" borderId="0" xfId="0" applyNumberFormat="1" applyFont="1" applyBorder="1" applyAlignment="1">
      <alignment horizontal="left"/>
    </xf>
    <xf numFmtId="0" fontId="38" fillId="0" borderId="0" xfId="0" applyFont="1" applyBorder="1" applyAlignment="1">
      <alignment horizontal="right"/>
    </xf>
    <xf numFmtId="166" fontId="50" fillId="0" borderId="0" xfId="0" applyNumberFormat="1" applyFont="1" applyAlignment="1">
      <alignment horizontal="right" vertical="justify"/>
    </xf>
    <xf numFmtId="166" fontId="50" fillId="0" borderId="0" xfId="0" applyNumberFormat="1" applyFont="1" applyAlignment="1">
      <alignment horizontal="center" vertical="justify"/>
    </xf>
    <xf numFmtId="166" fontId="38" fillId="0" borderId="0" xfId="0" applyNumberFormat="1" applyFont="1" applyAlignment="1">
      <alignment horizontal="center"/>
    </xf>
    <xf numFmtId="1" fontId="0" fillId="4" borderId="26" xfId="0" applyNumberFormat="1" applyFill="1" applyBorder="1" applyAlignment="1">
      <alignment horizontal="center" vertical="justify"/>
    </xf>
    <xf numFmtId="166" fontId="27" fillId="0" borderId="27" xfId="1" applyNumberFormat="1" applyFont="1" applyBorder="1" applyProtection="1"/>
    <xf numFmtId="166" fontId="38" fillId="0" borderId="0" xfId="0" applyNumberFormat="1" applyFont="1" applyBorder="1" applyAlignment="1">
      <alignment horizontal="left"/>
    </xf>
    <xf numFmtId="0" fontId="0" fillId="0" borderId="0" xfId="0" applyBorder="1"/>
    <xf numFmtId="43" fontId="27" fillId="0" borderId="14" xfId="2" applyNumberFormat="1" applyFont="1" applyBorder="1" applyAlignment="1"/>
    <xf numFmtId="0" fontId="2" fillId="0" borderId="0" xfId="0" applyFont="1"/>
    <xf numFmtId="0" fontId="53" fillId="0" borderId="0" xfId="0" applyFont="1"/>
    <xf numFmtId="165" fontId="0" fillId="0" borderId="0" xfId="1" applyFont="1" applyBorder="1"/>
    <xf numFmtId="0" fontId="54" fillId="0" borderId="0" xfId="0" applyFont="1" applyAlignment="1">
      <alignment horizontal="center"/>
    </xf>
    <xf numFmtId="0" fontId="3" fillId="0" borderId="21" xfId="0" applyFont="1" applyBorder="1"/>
    <xf numFmtId="43" fontId="52" fillId="0" borderId="0" xfId="2" applyFont="1" applyAlignment="1">
      <alignment horizontal="center"/>
    </xf>
    <xf numFmtId="43" fontId="52" fillId="0" borderId="0" xfId="2" applyFont="1"/>
    <xf numFmtId="43" fontId="52" fillId="0" borderId="21" xfId="2" applyFont="1" applyBorder="1"/>
    <xf numFmtId="43" fontId="53" fillId="0" borderId="0" xfId="2" applyFont="1"/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 applyAlignment="1"/>
    <xf numFmtId="0" fontId="0" fillId="0" borderId="0" xfId="0" applyNumberFormat="1" applyFill="1" applyBorder="1" applyAlignment="1" applyProtection="1">
      <alignment horizontal="left"/>
    </xf>
    <xf numFmtId="0" fontId="0" fillId="0" borderId="28" xfId="0" applyBorder="1" applyAlignment="1">
      <alignment horizontal="center"/>
    </xf>
    <xf numFmtId="0" fontId="0" fillId="0" borderId="28" xfId="0" applyBorder="1"/>
    <xf numFmtId="0" fontId="4" fillId="9" borderId="28" xfId="0" applyFont="1" applyFill="1" applyBorder="1" applyProtection="1">
      <protection locked="0"/>
    </xf>
    <xf numFmtId="1" fontId="3" fillId="9" borderId="28" xfId="0" applyNumberFormat="1" applyFont="1" applyFill="1" applyBorder="1" applyAlignment="1" applyProtection="1">
      <alignment horizontal="center"/>
      <protection locked="0"/>
    </xf>
    <xf numFmtId="0" fontId="4" fillId="10" borderId="28" xfId="0" applyFont="1" applyFill="1" applyBorder="1" applyAlignment="1" applyProtection="1">
      <alignment horizontal="center"/>
      <protection locked="0"/>
    </xf>
    <xf numFmtId="1" fontId="3" fillId="9" borderId="29" xfId="0" applyNumberFormat="1" applyFont="1" applyFill="1" applyBorder="1" applyAlignment="1" applyProtection="1">
      <alignment horizontal="center"/>
      <protection locked="0"/>
    </xf>
    <xf numFmtId="0" fontId="38" fillId="0" borderId="66" xfId="0" applyFont="1" applyBorder="1"/>
    <xf numFmtId="0" fontId="38" fillId="0" borderId="21" xfId="0" applyFont="1" applyBorder="1"/>
    <xf numFmtId="166" fontId="38" fillId="0" borderId="21" xfId="0" applyNumberFormat="1" applyFont="1" applyBorder="1"/>
    <xf numFmtId="0" fontId="38" fillId="0" borderId="67" xfId="0" applyFont="1" applyBorder="1"/>
    <xf numFmtId="0" fontId="38" fillId="0" borderId="68" xfId="0" applyFont="1" applyBorder="1"/>
    <xf numFmtId="0" fontId="38" fillId="0" borderId="69" xfId="0" applyFont="1" applyBorder="1"/>
    <xf numFmtId="0" fontId="38" fillId="9" borderId="70" xfId="0" applyFont="1" applyFill="1" applyBorder="1" applyAlignment="1">
      <alignment horizontal="right"/>
    </xf>
    <xf numFmtId="166" fontId="50" fillId="9" borderId="70" xfId="0" applyNumberFormat="1" applyFont="1" applyFill="1" applyBorder="1" applyAlignment="1">
      <alignment horizontal="left"/>
    </xf>
    <xf numFmtId="0" fontId="38" fillId="9" borderId="70" xfId="0" applyFont="1" applyFill="1" applyBorder="1"/>
    <xf numFmtId="0" fontId="38" fillId="9" borderId="71" xfId="0" applyFont="1" applyFill="1" applyBorder="1"/>
    <xf numFmtId="0" fontId="38" fillId="0" borderId="72" xfId="0" applyFont="1" applyBorder="1"/>
    <xf numFmtId="9" fontId="59" fillId="0" borderId="0" xfId="3" applyFont="1" applyBorder="1" applyAlignment="1">
      <alignment horizontal="center" vertical="center"/>
    </xf>
    <xf numFmtId="0" fontId="38" fillId="0" borderId="73" xfId="0" applyFont="1" applyBorder="1"/>
    <xf numFmtId="0" fontId="38" fillId="0" borderId="74" xfId="0" applyFont="1" applyBorder="1"/>
    <xf numFmtId="0" fontId="50" fillId="11" borderId="75" xfId="0" applyFont="1" applyFill="1" applyBorder="1" applyAlignment="1">
      <alignment horizontal="center"/>
    </xf>
    <xf numFmtId="165" fontId="50" fillId="11" borderId="75" xfId="0" applyNumberFormat="1" applyFont="1" applyFill="1" applyBorder="1" applyAlignment="1">
      <alignment horizontal="center"/>
    </xf>
    <xf numFmtId="0" fontId="38" fillId="11" borderId="75" xfId="0" applyFont="1" applyFill="1" applyBorder="1"/>
    <xf numFmtId="0" fontId="38" fillId="11" borderId="76" xfId="0" applyFont="1" applyFill="1" applyBorder="1"/>
    <xf numFmtId="0" fontId="3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/>
    <xf numFmtId="0" fontId="4" fillId="0" borderId="79" xfId="0" applyFont="1" applyBorder="1" applyAlignment="1">
      <alignment vertical="center"/>
    </xf>
    <xf numFmtId="165" fontId="57" fillId="0" borderId="0" xfId="1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43" fontId="27" fillId="12" borderId="14" xfId="2" applyNumberFormat="1" applyFont="1" applyFill="1" applyBorder="1" applyAlignment="1"/>
    <xf numFmtId="0" fontId="52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43" fontId="3" fillId="2" borderId="1" xfId="2" applyFont="1" applyFill="1" applyBorder="1"/>
    <xf numFmtId="43" fontId="63" fillId="0" borderId="1" xfId="2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4" fontId="63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43" fontId="1" fillId="10" borderId="1" xfId="2" applyFont="1" applyFill="1" applyBorder="1" applyAlignment="1">
      <alignment vertical="center"/>
    </xf>
    <xf numFmtId="0" fontId="50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43" fontId="63" fillId="0" borderId="1" xfId="2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4" fontId="0" fillId="9" borderId="28" xfId="0" applyNumberFormat="1" applyFill="1" applyBorder="1" applyProtection="1">
      <protection locked="0"/>
    </xf>
    <xf numFmtId="0" fontId="4" fillId="9" borderId="28" xfId="0" applyFont="1" applyFill="1" applyBorder="1" applyAlignment="1" applyProtection="1">
      <alignment horizontal="center"/>
      <protection locked="0"/>
    </xf>
    <xf numFmtId="1" fontId="0" fillId="9" borderId="28" xfId="0" applyNumberFormat="1" applyFill="1" applyBorder="1" applyAlignment="1" applyProtection="1">
      <alignment horizontal="center"/>
      <protection locked="0"/>
    </xf>
    <xf numFmtId="0" fontId="1" fillId="10" borderId="28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 vertical="center"/>
    </xf>
    <xf numFmtId="0" fontId="74" fillId="0" borderId="0" xfId="0" applyFont="1"/>
    <xf numFmtId="0" fontId="75" fillId="0" borderId="0" xfId="0" applyFont="1"/>
    <xf numFmtId="49" fontId="9" fillId="9" borderId="28" xfId="0" applyNumberFormat="1" applyFont="1" applyFill="1" applyBorder="1" applyProtection="1">
      <protection locked="0"/>
    </xf>
    <xf numFmtId="0" fontId="0" fillId="0" borderId="30" xfId="0" applyBorder="1"/>
    <xf numFmtId="43" fontId="0" fillId="0" borderId="31" xfId="2" applyFont="1" applyBorder="1"/>
    <xf numFmtId="0" fontId="1" fillId="0" borderId="31" xfId="0" applyFont="1" applyBorder="1"/>
    <xf numFmtId="43" fontId="0" fillId="0" borderId="32" xfId="2" applyFont="1" applyBorder="1"/>
    <xf numFmtId="43" fontId="3" fillId="0" borderId="0" xfId="2" applyFont="1" applyAlignment="1">
      <alignment horizontal="center" vertical="center"/>
    </xf>
    <xf numFmtId="0" fontId="1" fillId="13" borderId="30" xfId="0" applyFont="1" applyFill="1" applyBorder="1"/>
    <xf numFmtId="0" fontId="0" fillId="13" borderId="31" xfId="0" applyFill="1" applyBorder="1"/>
    <xf numFmtId="0" fontId="68" fillId="13" borderId="31" xfId="0" applyFont="1" applyFill="1" applyBorder="1" applyAlignment="1">
      <alignment vertical="center"/>
    </xf>
    <xf numFmtId="43" fontId="67" fillId="13" borderId="31" xfId="2" applyFont="1" applyFill="1" applyBorder="1"/>
    <xf numFmtId="43" fontId="54" fillId="13" borderId="31" xfId="2" applyFont="1" applyFill="1" applyBorder="1"/>
    <xf numFmtId="0" fontId="1" fillId="0" borderId="31" xfId="0" applyFont="1" applyBorder="1" applyAlignment="1">
      <alignment horizontal="right"/>
    </xf>
    <xf numFmtId="0" fontId="0" fillId="12" borderId="26" xfId="0" applyFill="1" applyBorder="1" applyAlignment="1">
      <alignment horizontal="center" vertical="center"/>
    </xf>
    <xf numFmtId="0" fontId="0" fillId="12" borderId="26" xfId="0" applyFill="1" applyBorder="1"/>
    <xf numFmtId="43" fontId="67" fillId="12" borderId="26" xfId="2" applyFont="1" applyFill="1" applyBorder="1"/>
    <xf numFmtId="43" fontId="67" fillId="12" borderId="24" xfId="2" applyFont="1" applyFill="1" applyBorder="1"/>
    <xf numFmtId="0" fontId="0" fillId="0" borderId="33" xfId="0" applyBorder="1"/>
    <xf numFmtId="43" fontId="0" fillId="0" borderId="0" xfId="2" applyFont="1" applyBorder="1"/>
    <xf numFmtId="43" fontId="0" fillId="0" borderId="20" xfId="2" applyFont="1" applyBorder="1"/>
    <xf numFmtId="0" fontId="0" fillId="0" borderId="34" xfId="0" applyBorder="1"/>
    <xf numFmtId="43" fontId="0" fillId="0" borderId="21" xfId="2" applyFont="1" applyBorder="1"/>
    <xf numFmtId="43" fontId="0" fillId="0" borderId="22" xfId="2" applyFont="1" applyBorder="1"/>
    <xf numFmtId="0" fontId="1" fillId="12" borderId="26" xfId="0" applyFont="1" applyFill="1" applyBorder="1"/>
    <xf numFmtId="0" fontId="3" fillId="0" borderId="33" xfId="0" applyFont="1" applyBorder="1"/>
    <xf numFmtId="0" fontId="49" fillId="0" borderId="21" xfId="0" applyFont="1" applyBorder="1" applyAlignment="1">
      <alignment horizontal="right" vertical="center"/>
    </xf>
    <xf numFmtId="173" fontId="0" fillId="0" borderId="21" xfId="2" applyNumberFormat="1" applyFont="1" applyBorder="1"/>
    <xf numFmtId="173" fontId="0" fillId="0" borderId="22" xfId="2" applyNumberFormat="1" applyFont="1" applyBorder="1"/>
    <xf numFmtId="0" fontId="1" fillId="0" borderId="0" xfId="0" applyFont="1" applyBorder="1" applyAlignment="1">
      <alignment horizontal="right"/>
    </xf>
    <xf numFmtId="9" fontId="0" fillId="0" borderId="0" xfId="3" applyFont="1" applyBorder="1"/>
    <xf numFmtId="9" fontId="0" fillId="0" borderId="20" xfId="3" applyFont="1" applyBorder="1"/>
    <xf numFmtId="0" fontId="1" fillId="0" borderId="21" xfId="0" applyFont="1" applyBorder="1" applyAlignment="1">
      <alignment horizontal="right"/>
    </xf>
    <xf numFmtId="9" fontId="0" fillId="0" borderId="21" xfId="3" applyFont="1" applyBorder="1"/>
    <xf numFmtId="9" fontId="0" fillId="0" borderId="22" xfId="3" applyFont="1" applyBorder="1"/>
    <xf numFmtId="0" fontId="3" fillId="0" borderId="33" xfId="0" applyFont="1" applyFill="1" applyBorder="1"/>
    <xf numFmtId="0" fontId="0" fillId="0" borderId="0" xfId="0" applyFill="1" applyBorder="1" applyAlignment="1">
      <alignment horizontal="center" vertical="center"/>
    </xf>
    <xf numFmtId="0" fontId="64" fillId="0" borderId="0" xfId="0" applyFont="1" applyFill="1" applyBorder="1" applyAlignment="1">
      <alignment horizontal="right"/>
    </xf>
    <xf numFmtId="0" fontId="1" fillId="0" borderId="21" xfId="0" applyFont="1" applyBorder="1"/>
    <xf numFmtId="0" fontId="64" fillId="0" borderId="21" xfId="0" applyFont="1" applyBorder="1" applyAlignment="1">
      <alignment horizontal="right"/>
    </xf>
    <xf numFmtId="43" fontId="0" fillId="0" borderId="26" xfId="2" applyFont="1" applyFill="1" applyBorder="1"/>
    <xf numFmtId="43" fontId="0" fillId="0" borderId="24" xfId="2" applyFont="1" applyFill="1" applyBorder="1"/>
    <xf numFmtId="0" fontId="1" fillId="10" borderId="35" xfId="0" applyFont="1" applyFill="1" applyBorder="1"/>
    <xf numFmtId="43" fontId="3" fillId="0" borderId="0" xfId="2" applyFont="1" applyAlignment="1">
      <alignment horizontal="center"/>
    </xf>
    <xf numFmtId="43" fontId="3" fillId="13" borderId="32" xfId="2" applyFont="1" applyFill="1" applyBorder="1"/>
    <xf numFmtId="43" fontId="0" fillId="0" borderId="36" xfId="2" applyFont="1" applyBorder="1"/>
    <xf numFmtId="0" fontId="76" fillId="0" borderId="35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173" fontId="1" fillId="0" borderId="21" xfId="2" applyNumberFormat="1" applyFont="1" applyBorder="1"/>
    <xf numFmtId="0" fontId="68" fillId="0" borderId="0" xfId="0" applyFont="1" applyFill="1" applyBorder="1" applyAlignment="1">
      <alignment horizontal="right"/>
    </xf>
    <xf numFmtId="43" fontId="54" fillId="0" borderId="0" xfId="2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3" fontId="0" fillId="0" borderId="37" xfId="2" applyFont="1" applyBorder="1"/>
    <xf numFmtId="0" fontId="1" fillId="0" borderId="0" xfId="0" applyFont="1" applyFill="1" applyBorder="1"/>
    <xf numFmtId="166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44" fontId="38" fillId="0" borderId="0" xfId="0" applyNumberFormat="1" applyFont="1" applyBorder="1" applyAlignment="1"/>
    <xf numFmtId="44" fontId="38" fillId="0" borderId="74" xfId="0" applyNumberFormat="1" applyFont="1" applyBorder="1" applyAlignment="1"/>
    <xf numFmtId="165" fontId="38" fillId="0" borderId="0" xfId="1" applyFont="1" applyFill="1" applyBorder="1" applyAlignment="1">
      <alignment horizontal="left"/>
    </xf>
    <xf numFmtId="43" fontId="64" fillId="0" borderId="0" xfId="2" applyFont="1" applyBorder="1"/>
    <xf numFmtId="43" fontId="64" fillId="0" borderId="21" xfId="2" applyFont="1" applyBorder="1"/>
    <xf numFmtId="43" fontId="77" fillId="0" borderId="0" xfId="2" applyFont="1" applyBorder="1"/>
    <xf numFmtId="43" fontId="77" fillId="0" borderId="21" xfId="2" applyFont="1" applyBorder="1"/>
    <xf numFmtId="0" fontId="0" fillId="0" borderId="31" xfId="0" applyBorder="1"/>
    <xf numFmtId="0" fontId="3" fillId="0" borderId="31" xfId="0" applyFont="1" applyBorder="1"/>
    <xf numFmtId="43" fontId="78" fillId="0" borderId="31" xfId="2" applyFont="1" applyBorder="1"/>
    <xf numFmtId="43" fontId="3" fillId="0" borderId="31" xfId="2" applyFont="1" applyBorder="1"/>
    <xf numFmtId="43" fontId="3" fillId="0" borderId="32" xfId="2" applyFont="1" applyBorder="1"/>
    <xf numFmtId="43" fontId="3" fillId="13" borderId="35" xfId="2" applyFont="1" applyFill="1" applyBorder="1"/>
    <xf numFmtId="43" fontId="64" fillId="12" borderId="26" xfId="2" applyFont="1" applyFill="1" applyBorder="1"/>
    <xf numFmtId="43" fontId="64" fillId="0" borderId="0" xfId="2" applyFont="1"/>
    <xf numFmtId="9" fontId="64" fillId="0" borderId="0" xfId="3" applyFont="1" applyBorder="1"/>
    <xf numFmtId="9" fontId="64" fillId="0" borderId="21" xfId="3" applyFont="1" applyBorder="1"/>
    <xf numFmtId="43" fontId="79" fillId="0" borderId="0" xfId="2" applyFont="1"/>
    <xf numFmtId="43" fontId="79" fillId="0" borderId="0" xfId="2" applyFont="1" applyBorder="1"/>
    <xf numFmtId="43" fontId="79" fillId="0" borderId="21" xfId="2" applyFont="1" applyBorder="1"/>
    <xf numFmtId="43" fontId="3" fillId="0" borderId="35" xfId="2" applyFont="1" applyBorder="1"/>
    <xf numFmtId="0" fontId="52" fillId="0" borderId="0" xfId="0" applyFont="1"/>
    <xf numFmtId="0" fontId="3" fillId="10" borderId="38" xfId="0" applyFont="1" applyFill="1" applyBorder="1"/>
    <xf numFmtId="0" fontId="80" fillId="0" borderId="0" xfId="0" applyFont="1" applyFill="1" applyBorder="1" applyAlignment="1">
      <alignment horizontal="right"/>
    </xf>
    <xf numFmtId="43" fontId="80" fillId="0" borderId="0" xfId="2" applyFont="1" applyFill="1" applyBorder="1"/>
    <xf numFmtId="43" fontId="80" fillId="0" borderId="36" xfId="2" applyFont="1" applyFill="1" applyBorder="1"/>
    <xf numFmtId="0" fontId="3" fillId="14" borderId="26" xfId="0" applyFont="1" applyFill="1" applyBorder="1" applyAlignment="1">
      <alignment horizontal="center" vertical="center"/>
    </xf>
    <xf numFmtId="0" fontId="3" fillId="14" borderId="26" xfId="0" applyFont="1" applyFill="1" applyBorder="1"/>
    <xf numFmtId="43" fontId="3" fillId="14" borderId="26" xfId="2" applyFont="1" applyFill="1" applyBorder="1"/>
    <xf numFmtId="43" fontId="3" fillId="14" borderId="24" xfId="2" applyFont="1" applyFill="1" applyBorder="1"/>
    <xf numFmtId="0" fontId="0" fillId="14" borderId="26" xfId="0" applyFill="1" applyBorder="1" applyAlignment="1">
      <alignment horizontal="center" vertical="center"/>
    </xf>
    <xf numFmtId="0" fontId="0" fillId="14" borderId="26" xfId="0" applyFill="1" applyBorder="1"/>
    <xf numFmtId="43" fontId="64" fillId="14" borderId="26" xfId="2" applyFont="1" applyFill="1" applyBorder="1"/>
    <xf numFmtId="43" fontId="67" fillId="14" borderId="26" xfId="2" applyFont="1" applyFill="1" applyBorder="1"/>
    <xf numFmtId="43" fontId="67" fillId="14" borderId="24" xfId="2" applyFont="1" applyFill="1" applyBorder="1"/>
    <xf numFmtId="43" fontId="61" fillId="14" borderId="26" xfId="2" applyFont="1" applyFill="1" applyBorder="1"/>
    <xf numFmtId="173" fontId="0" fillId="0" borderId="37" xfId="2" applyNumberFormat="1" applyFont="1" applyBorder="1"/>
    <xf numFmtId="0" fontId="1" fillId="14" borderId="26" xfId="0" applyFont="1" applyFill="1" applyBorder="1"/>
    <xf numFmtId="43" fontId="67" fillId="14" borderId="38" xfId="2" applyFont="1" applyFill="1" applyBorder="1"/>
    <xf numFmtId="43" fontId="0" fillId="0" borderId="24" xfId="2" applyFont="1" applyBorder="1"/>
    <xf numFmtId="43" fontId="3" fillId="14" borderId="38" xfId="2" applyFont="1" applyFill="1" applyBorder="1"/>
    <xf numFmtId="0" fontId="1" fillId="14" borderId="26" xfId="0" applyFont="1" applyFill="1" applyBorder="1" applyAlignment="1">
      <alignment horizontal="center" vertical="center"/>
    </xf>
    <xf numFmtId="43" fontId="1" fillId="14" borderId="26" xfId="2" applyFont="1" applyFill="1" applyBorder="1"/>
    <xf numFmtId="43" fontId="1" fillId="14" borderId="24" xfId="2" applyFont="1" applyFill="1" applyBorder="1"/>
    <xf numFmtId="43" fontId="81" fillId="0" borderId="0" xfId="2" applyFont="1" applyBorder="1"/>
    <xf numFmtId="0" fontId="3" fillId="14" borderId="30" xfId="0" applyFont="1" applyFill="1" applyBorder="1"/>
    <xf numFmtId="0" fontId="3" fillId="14" borderId="31" xfId="0" applyFont="1" applyFill="1" applyBorder="1" applyAlignment="1">
      <alignment horizontal="right"/>
    </xf>
    <xf numFmtId="0" fontId="3" fillId="14" borderId="31" xfId="0" applyFont="1" applyFill="1" applyBorder="1"/>
    <xf numFmtId="43" fontId="3" fillId="14" borderId="31" xfId="2" applyFont="1" applyFill="1" applyBorder="1"/>
    <xf numFmtId="43" fontId="3" fillId="14" borderId="32" xfId="2" applyFont="1" applyFill="1" applyBorder="1"/>
    <xf numFmtId="0" fontId="53" fillId="0" borderId="0" xfId="0" applyFont="1" applyFill="1" applyBorder="1" applyAlignment="1">
      <alignment horizontal="left" vertical="top" wrapText="1"/>
    </xf>
    <xf numFmtId="0" fontId="38" fillId="0" borderId="0" xfId="0" applyFont="1" applyAlignment="1"/>
    <xf numFmtId="0" fontId="0" fillId="0" borderId="0" xfId="0" applyAlignment="1"/>
    <xf numFmtId="43" fontId="0" fillId="0" borderId="0" xfId="0" applyNumberFormat="1"/>
    <xf numFmtId="0" fontId="52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9" fontId="67" fillId="9" borderId="35" xfId="3" applyFont="1" applyFill="1" applyBorder="1"/>
    <xf numFmtId="9" fontId="38" fillId="0" borderId="0" xfId="3" applyFont="1"/>
    <xf numFmtId="166" fontId="50" fillId="11" borderId="0" xfId="0" applyNumberFormat="1" applyFont="1" applyFill="1" applyBorder="1" applyAlignment="1">
      <alignment horizontal="center"/>
    </xf>
    <xf numFmtId="0" fontId="38" fillId="11" borderId="0" xfId="0" applyFont="1" applyFill="1" applyBorder="1"/>
    <xf numFmtId="0" fontId="38" fillId="11" borderId="74" xfId="0" applyFont="1" applyFill="1" applyBorder="1"/>
    <xf numFmtId="166" fontId="38" fillId="0" borderId="66" xfId="0" applyNumberFormat="1" applyFont="1" applyBorder="1"/>
    <xf numFmtId="0" fontId="51" fillId="0" borderId="66" xfId="0" applyFont="1" applyBorder="1" applyAlignment="1">
      <alignment horizontal="center"/>
    </xf>
    <xf numFmtId="166" fontId="38" fillId="15" borderId="32" xfId="0" applyNumberFormat="1" applyFont="1" applyFill="1" applyBorder="1"/>
    <xf numFmtId="166" fontId="51" fillId="0" borderId="0" xfId="0" applyNumberFormat="1" applyFont="1" applyAlignment="1">
      <alignment horizontal="right"/>
    </xf>
    <xf numFmtId="0" fontId="51" fillId="0" borderId="0" xfId="0" applyFont="1" applyAlignment="1">
      <alignment horizontal="right"/>
    </xf>
    <xf numFmtId="0" fontId="51" fillId="0" borderId="0" xfId="0" applyFont="1" applyAlignment="1">
      <alignment horizontal="right" vertical="justify"/>
    </xf>
    <xf numFmtId="166" fontId="51" fillId="0" borderId="0" xfId="0" applyNumberFormat="1" applyFont="1" applyAlignment="1">
      <alignment horizontal="center" vertical="center"/>
    </xf>
    <xf numFmtId="9" fontId="38" fillId="0" borderId="0" xfId="3" applyFont="1" applyAlignment="1">
      <alignment horizontal="center"/>
    </xf>
    <xf numFmtId="166" fontId="38" fillId="0" borderId="21" xfId="0" applyNumberFormat="1" applyFont="1" applyBorder="1" applyAlignment="1">
      <alignment horizontal="right"/>
    </xf>
    <xf numFmtId="0" fontId="51" fillId="0" borderId="0" xfId="0" applyFont="1" applyAlignment="1">
      <alignment horizontal="left"/>
    </xf>
    <xf numFmtId="0" fontId="0" fillId="0" borderId="80" xfId="0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0" fillId="0" borderId="82" xfId="0" applyBorder="1" applyAlignment="1">
      <alignment horizontal="center"/>
    </xf>
    <xf numFmtId="0" fontId="0" fillId="9" borderId="35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horizontal="center" vertical="center"/>
    </xf>
    <xf numFmtId="0" fontId="0" fillId="9" borderId="35" xfId="0" applyNumberForma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43" fontId="1" fillId="9" borderId="38" xfId="2" applyFont="1" applyFill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82" fillId="0" borderId="0" xfId="0" applyFont="1" applyAlignment="1">
      <alignment horizontal="center" vertical="center"/>
    </xf>
    <xf numFmtId="43" fontId="75" fillId="0" borderId="0" xfId="2" applyFont="1" applyAlignment="1">
      <alignment horizontal="right"/>
    </xf>
    <xf numFmtId="0" fontId="75" fillId="0" borderId="0" xfId="0" applyFont="1" applyAlignment="1">
      <alignment horizontal="center" vertical="center"/>
    </xf>
    <xf numFmtId="2" fontId="75" fillId="0" borderId="0" xfId="0" applyNumberFormat="1" applyFont="1" applyAlignment="1">
      <alignment horizontal="right"/>
    </xf>
    <xf numFmtId="2" fontId="75" fillId="0" borderId="0" xfId="0" applyNumberFormat="1" applyFont="1" applyFill="1" applyAlignment="1">
      <alignment horizontal="right"/>
    </xf>
    <xf numFmtId="0" fontId="75" fillId="0" borderId="0" xfId="0" applyFont="1" applyAlignment="1">
      <alignment horizontal="right"/>
    </xf>
    <xf numFmtId="1" fontId="75" fillId="0" borderId="0" xfId="0" applyNumberFormat="1" applyFont="1" applyFill="1"/>
    <xf numFmtId="43" fontId="63" fillId="10" borderId="1" xfId="2" applyFont="1" applyFill="1" applyBorder="1" applyAlignment="1">
      <alignment vertical="center"/>
    </xf>
    <xf numFmtId="14" fontId="1" fillId="10" borderId="1" xfId="0" applyNumberFormat="1" applyFont="1" applyFill="1" applyBorder="1" applyAlignment="1">
      <alignment horizontal="center" vertical="center"/>
    </xf>
    <xf numFmtId="0" fontId="3" fillId="15" borderId="87" xfId="0" applyFont="1" applyFill="1" applyBorder="1" applyAlignment="1">
      <alignment horizontal="center" vertical="center"/>
    </xf>
    <xf numFmtId="2" fontId="3" fillId="15" borderId="88" xfId="0" applyNumberFormat="1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vertical="center"/>
    </xf>
    <xf numFmtId="0" fontId="59" fillId="0" borderId="0" xfId="0" applyFont="1"/>
    <xf numFmtId="9" fontId="59" fillId="0" borderId="0" xfId="3" applyFont="1"/>
    <xf numFmtId="0" fontId="79" fillId="0" borderId="0" xfId="0" applyFont="1"/>
    <xf numFmtId="43" fontId="80" fillId="0" borderId="0" xfId="0" applyNumberFormat="1" applyFont="1"/>
    <xf numFmtId="43" fontId="79" fillId="0" borderId="0" xfId="0" applyNumberFormat="1" applyFont="1"/>
    <xf numFmtId="43" fontId="79" fillId="0" borderId="0" xfId="2" applyNumberFormat="1" applyFont="1"/>
    <xf numFmtId="0" fontId="3" fillId="0" borderId="0" xfId="0" applyFont="1"/>
    <xf numFmtId="43" fontId="1" fillId="0" borderId="0" xfId="0" applyNumberFormat="1" applyFont="1"/>
    <xf numFmtId="43" fontId="3" fillId="0" borderId="0" xfId="0" applyNumberFormat="1" applyFont="1"/>
    <xf numFmtId="14" fontId="67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/>
    <xf numFmtId="43" fontId="67" fillId="10" borderId="1" xfId="2" applyFont="1" applyFill="1" applyBorder="1"/>
    <xf numFmtId="0" fontId="1" fillId="10" borderId="1" xfId="0" applyFont="1" applyFill="1" applyBorder="1"/>
    <xf numFmtId="14" fontId="1" fillId="10" borderId="1" xfId="0" applyNumberFormat="1" applyFont="1" applyFill="1" applyBorder="1" applyAlignment="1">
      <alignment horizontal="center"/>
    </xf>
    <xf numFmtId="0" fontId="53" fillId="0" borderId="1" xfId="0" applyNumberFormat="1" applyFont="1" applyBorder="1" applyAlignment="1">
      <alignment horizontal="center" vertical="center"/>
    </xf>
    <xf numFmtId="43" fontId="1" fillId="10" borderId="1" xfId="2" applyFont="1" applyFill="1" applyBorder="1"/>
    <xf numFmtId="14" fontId="0" fillId="10" borderId="1" xfId="0" applyNumberFormat="1" applyFill="1" applyBorder="1" applyAlignment="1">
      <alignment horizontal="center"/>
    </xf>
    <xf numFmtId="43" fontId="67" fillId="10" borderId="1" xfId="2" applyFont="1" applyFill="1" applyBorder="1"/>
    <xf numFmtId="44" fontId="0" fillId="0" borderId="0" xfId="0" applyNumberFormat="1"/>
    <xf numFmtId="43" fontId="71" fillId="0" borderId="0" xfId="2" applyFont="1" applyAlignment="1">
      <alignment horizontal="left"/>
    </xf>
    <xf numFmtId="0" fontId="67" fillId="10" borderId="1" xfId="0" applyFont="1" applyFill="1" applyBorder="1"/>
    <xf numFmtId="43" fontId="2" fillId="0" borderId="0" xfId="0" applyNumberFormat="1" applyFont="1"/>
    <xf numFmtId="43" fontId="2" fillId="0" borderId="0" xfId="2" applyFont="1"/>
    <xf numFmtId="43" fontId="2" fillId="0" borderId="25" xfId="0" applyNumberFormat="1" applyFont="1" applyBorder="1"/>
    <xf numFmtId="43" fontId="2" fillId="0" borderId="24" xfId="0" applyNumberFormat="1" applyFont="1" applyBorder="1"/>
    <xf numFmtId="0" fontId="2" fillId="0" borderId="33" xfId="0" applyFont="1" applyBorder="1"/>
    <xf numFmtId="0" fontId="2" fillId="0" borderId="20" xfId="0" applyFont="1" applyBorder="1"/>
    <xf numFmtId="43" fontId="2" fillId="0" borderId="34" xfId="0" applyNumberFormat="1" applyFont="1" applyBorder="1"/>
    <xf numFmtId="43" fontId="2" fillId="0" borderId="22" xfId="0" applyNumberFormat="1" applyFont="1" applyBorder="1"/>
    <xf numFmtId="44" fontId="38" fillId="0" borderId="0" xfId="0" applyNumberFormat="1" applyFont="1" applyAlignment="1"/>
    <xf numFmtId="0" fontId="53" fillId="0" borderId="39" xfId="0" applyFont="1" applyFill="1" applyBorder="1" applyAlignment="1">
      <alignment horizontal="left" vertical="top" wrapText="1"/>
    </xf>
    <xf numFmtId="0" fontId="53" fillId="0" borderId="31" xfId="0" applyFont="1" applyFill="1" applyBorder="1" applyAlignment="1">
      <alignment horizontal="left" vertical="top" wrapText="1"/>
    </xf>
    <xf numFmtId="0" fontId="75" fillId="0" borderId="0" xfId="0" applyFont="1" applyFill="1" applyBorder="1" applyProtection="1">
      <protection locked="0"/>
    </xf>
    <xf numFmtId="0" fontId="3" fillId="0" borderId="0" xfId="0" applyFont="1"/>
    <xf numFmtId="0" fontId="3" fillId="0" borderId="44" xfId="0" applyFont="1" applyBorder="1"/>
    <xf numFmtId="2" fontId="2" fillId="16" borderId="28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1" xfId="0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74" fillId="0" borderId="0" xfId="0" applyFont="1" applyBorder="1" applyAlignment="1">
      <alignment horizontal="center"/>
    </xf>
    <xf numFmtId="0" fontId="74" fillId="0" borderId="0" xfId="0" applyFont="1" applyAlignment="1">
      <alignment horizontal="center"/>
    </xf>
    <xf numFmtId="0" fontId="3" fillId="0" borderId="28" xfId="0" applyFont="1" applyFill="1" applyBorder="1" applyAlignment="1">
      <alignment horizontal="left"/>
    </xf>
    <xf numFmtId="2" fontId="4" fillId="9" borderId="28" xfId="0" applyNumberFormat="1" applyFont="1" applyFill="1" applyBorder="1" applyAlignment="1" applyProtection="1">
      <alignment horizontal="left"/>
      <protection locked="0"/>
    </xf>
    <xf numFmtId="2" fontId="0" fillId="9" borderId="28" xfId="0" applyNumberFormat="1" applyFill="1" applyBorder="1" applyAlignment="1" applyProtection="1">
      <alignment horizontal="left"/>
      <protection locked="0"/>
    </xf>
    <xf numFmtId="2" fontId="2" fillId="9" borderId="28" xfId="0" applyNumberFormat="1" applyFont="1" applyFill="1" applyBorder="1" applyAlignment="1" applyProtection="1">
      <alignment horizontal="left"/>
      <protection locked="0"/>
    </xf>
    <xf numFmtId="43" fontId="1" fillId="9" borderId="28" xfId="2" applyFont="1" applyFill="1" applyBorder="1" applyAlignment="1" applyProtection="1">
      <alignment horizontal="center"/>
      <protection locked="0"/>
    </xf>
    <xf numFmtId="0" fontId="46" fillId="0" borderId="0" xfId="0" applyFont="1" applyAlignment="1">
      <alignment wrapText="1"/>
    </xf>
    <xf numFmtId="43" fontId="4" fillId="9" borderId="28" xfId="2" applyFont="1" applyFill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9" fillId="0" borderId="0" xfId="0" applyFont="1" applyAlignment="1">
      <alignment wrapText="1"/>
    </xf>
    <xf numFmtId="1" fontId="0" fillId="9" borderId="28" xfId="0" applyNumberForma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>
      <alignment vertical="top" wrapText="1"/>
    </xf>
    <xf numFmtId="0" fontId="3" fillId="0" borderId="28" xfId="0" applyFont="1" applyBorder="1" applyAlignment="1">
      <alignment vertical="center" wrapText="1"/>
    </xf>
    <xf numFmtId="2" fontId="0" fillId="9" borderId="28" xfId="0" applyNumberFormat="1" applyFill="1" applyBorder="1" applyAlignment="1" applyProtection="1">
      <alignment horizontal="center"/>
      <protection locked="0"/>
    </xf>
    <xf numFmtId="2" fontId="0" fillId="9" borderId="44" xfId="0" applyNumberForma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>
      <alignment vertical="center" wrapText="1"/>
    </xf>
    <xf numFmtId="0" fontId="1" fillId="10" borderId="28" xfId="0" applyFont="1" applyFill="1" applyBorder="1" applyProtection="1">
      <protection locked="0"/>
    </xf>
    <xf numFmtId="0" fontId="4" fillId="10" borderId="28" xfId="0" applyFont="1" applyFill="1" applyBorder="1" applyProtection="1">
      <protection locked="0"/>
    </xf>
    <xf numFmtId="0" fontId="39" fillId="0" borderId="0" xfId="0" applyFont="1" applyAlignment="1">
      <alignment horizontal="center"/>
    </xf>
    <xf numFmtId="0" fontId="1" fillId="9" borderId="28" xfId="0" applyFont="1" applyFill="1" applyBorder="1" applyProtection="1">
      <protection locked="0"/>
    </xf>
    <xf numFmtId="0" fontId="4" fillId="9" borderId="28" xfId="0" applyFont="1" applyFill="1" applyBorder="1" applyProtection="1">
      <protection locked="0"/>
    </xf>
    <xf numFmtId="0" fontId="3" fillId="0" borderId="28" xfId="0" applyFont="1" applyFill="1" applyBorder="1"/>
    <xf numFmtId="0" fontId="39" fillId="0" borderId="0" xfId="0" applyFont="1" applyFill="1"/>
    <xf numFmtId="0" fontId="39" fillId="0" borderId="0" xfId="0" applyFont="1"/>
    <xf numFmtId="0" fontId="0" fillId="10" borderId="28" xfId="0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center"/>
    </xf>
    <xf numFmtId="0" fontId="69" fillId="0" borderId="28" xfId="0" applyFont="1" applyBorder="1"/>
    <xf numFmtId="0" fontId="69" fillId="0" borderId="28" xfId="0" applyFont="1" applyBorder="1" applyAlignment="1">
      <alignment horizontal="left"/>
    </xf>
    <xf numFmtId="0" fontId="3" fillId="0" borderId="28" xfId="0" applyFont="1" applyBorder="1"/>
    <xf numFmtId="0" fontId="3" fillId="0" borderId="0" xfId="0" applyFont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0" fillId="0" borderId="43" xfId="4" applyNumberFormat="1" applyFont="1" applyFill="1" applyBorder="1" applyAlignment="1">
      <alignment horizontal="center"/>
    </xf>
    <xf numFmtId="0" fontId="0" fillId="0" borderId="28" xfId="4" applyNumberFormat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" fontId="0" fillId="0" borderId="28" xfId="0" applyNumberFormat="1" applyFill="1" applyBorder="1" applyAlignment="1" applyProtection="1">
      <alignment horizontal="center"/>
      <protection locked="0"/>
    </xf>
    <xf numFmtId="43" fontId="0" fillId="0" borderId="28" xfId="2" applyFont="1" applyFill="1" applyBorder="1" applyAlignment="1">
      <alignment horizontal="center"/>
    </xf>
    <xf numFmtId="2" fontId="0" fillId="0" borderId="40" xfId="0" applyNumberFormat="1" applyFill="1" applyBorder="1" applyAlignment="1" applyProtection="1">
      <alignment horizontal="center"/>
      <protection locked="0"/>
    </xf>
    <xf numFmtId="2" fontId="0" fillId="0" borderId="41" xfId="0" applyNumberFormat="1" applyFill="1" applyBorder="1" applyAlignment="1" applyProtection="1">
      <alignment horizontal="center"/>
      <protection locked="0"/>
    </xf>
    <xf numFmtId="0" fontId="1" fillId="16" borderId="40" xfId="4" applyNumberFormat="1" applyFont="1" applyFill="1" applyBorder="1" applyAlignment="1" applyProtection="1">
      <alignment horizontal="center"/>
      <protection locked="0"/>
    </xf>
    <xf numFmtId="0" fontId="1" fillId="16" borderId="28" xfId="4" applyNumberFormat="1" applyFont="1" applyFill="1" applyBorder="1" applyAlignment="1" applyProtection="1">
      <alignment horizontal="center"/>
      <protection locked="0"/>
    </xf>
    <xf numFmtId="0" fontId="1" fillId="16" borderId="41" xfId="4" applyNumberFormat="1" applyFont="1" applyFill="1" applyBorder="1" applyAlignment="1" applyProtection="1">
      <alignment horizont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0" xfId="0" applyFont="1"/>
    <xf numFmtId="2" fontId="3" fillId="9" borderId="21" xfId="0" applyNumberFormat="1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0" fontId="18" fillId="7" borderId="47" xfId="0" applyFont="1" applyFill="1" applyBorder="1" applyAlignment="1">
      <alignment horizontal="center"/>
    </xf>
    <xf numFmtId="0" fontId="62" fillId="7" borderId="48" xfId="0" applyFont="1" applyFill="1" applyBorder="1" applyAlignment="1">
      <alignment horizontal="center"/>
    </xf>
    <xf numFmtId="0" fontId="62" fillId="7" borderId="7" xfId="0" applyFont="1" applyFill="1" applyBorder="1" applyAlignment="1">
      <alignment horizontal="center"/>
    </xf>
    <xf numFmtId="0" fontId="54" fillId="15" borderId="90" xfId="0" applyFont="1" applyFill="1" applyBorder="1" applyAlignment="1">
      <alignment horizontal="center" vertical="center"/>
    </xf>
    <xf numFmtId="0" fontId="54" fillId="15" borderId="91" xfId="0" applyFont="1" applyFill="1" applyBorder="1" applyAlignment="1">
      <alignment horizontal="center" vertical="center"/>
    </xf>
    <xf numFmtId="0" fontId="54" fillId="15" borderId="92" xfId="0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50" fillId="9" borderId="103" xfId="0" applyFont="1" applyFill="1" applyBorder="1" applyAlignment="1">
      <alignment horizontal="right" vertical="top" wrapText="1"/>
    </xf>
    <xf numFmtId="0" fontId="50" fillId="9" borderId="70" xfId="0" applyFont="1" applyFill="1" applyBorder="1" applyAlignment="1">
      <alignment horizontal="right" vertical="top" wrapText="1"/>
    </xf>
    <xf numFmtId="0" fontId="38" fillId="0" borderId="101" xfId="0" applyFont="1" applyBorder="1"/>
    <xf numFmtId="0" fontId="38" fillId="0" borderId="0" xfId="0" applyFont="1" applyBorder="1"/>
    <xf numFmtId="0" fontId="56" fillId="15" borderId="104" xfId="0" applyFont="1" applyFill="1" applyBorder="1" applyAlignment="1">
      <alignment horizontal="left" vertical="center"/>
    </xf>
    <xf numFmtId="0" fontId="56" fillId="15" borderId="105" xfId="0" applyFont="1" applyFill="1" applyBorder="1" applyAlignment="1">
      <alignment horizontal="left" vertical="center"/>
    </xf>
    <xf numFmtId="0" fontId="56" fillId="15" borderId="106" xfId="0" applyFont="1" applyFill="1" applyBorder="1" applyAlignment="1">
      <alignment horizontal="left" vertical="center"/>
    </xf>
    <xf numFmtId="166" fontId="38" fillId="0" borderId="0" xfId="0" applyNumberFormat="1" applyFont="1" applyBorder="1" applyAlignment="1">
      <alignment horizontal="center"/>
    </xf>
    <xf numFmtId="166" fontId="38" fillId="15" borderId="31" xfId="0" applyNumberFormat="1" applyFont="1" applyFill="1" applyBorder="1" applyAlignment="1">
      <alignment horizontal="center"/>
    </xf>
    <xf numFmtId="166" fontId="51" fillId="0" borderId="0" xfId="0" applyNumberFormat="1" applyFont="1" applyBorder="1" applyAlignment="1">
      <alignment horizontal="center"/>
    </xf>
    <xf numFmtId="0" fontId="71" fillId="0" borderId="73" xfId="0" applyFont="1" applyBorder="1" applyAlignment="1">
      <alignment horizontal="left" wrapText="1"/>
    </xf>
    <xf numFmtId="0" fontId="71" fillId="0" borderId="0" xfId="0" applyFont="1" applyBorder="1" applyAlignment="1">
      <alignment horizontal="left" wrapText="1"/>
    </xf>
    <xf numFmtId="0" fontId="38" fillId="0" borderId="0" xfId="0" applyFont="1" applyBorder="1" applyAlignment="1">
      <alignment horizontal="right" vertical="center" wrapText="1"/>
    </xf>
    <xf numFmtId="0" fontId="38" fillId="0" borderId="101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15" borderId="30" xfId="0" applyFont="1" applyFill="1" applyBorder="1" applyAlignment="1">
      <alignment horizontal="right"/>
    </xf>
    <xf numFmtId="0" fontId="38" fillId="15" borderId="31" xfId="0" applyFont="1" applyFill="1" applyBorder="1" applyAlignment="1">
      <alignment horizontal="right"/>
    </xf>
    <xf numFmtId="0" fontId="38" fillId="11" borderId="102" xfId="0" applyFont="1" applyFill="1" applyBorder="1" applyAlignment="1">
      <alignment horizontal="right" vertical="top" wrapText="1"/>
    </xf>
    <xf numFmtId="0" fontId="38" fillId="11" borderId="75" xfId="0" applyFont="1" applyFill="1" applyBorder="1" applyAlignment="1">
      <alignment horizontal="right" vertical="top" wrapText="1"/>
    </xf>
    <xf numFmtId="44" fontId="38" fillId="0" borderId="31" xfId="0" applyNumberFormat="1" applyFont="1" applyBorder="1" applyAlignment="1">
      <alignment horizontal="center"/>
    </xf>
    <xf numFmtId="0" fontId="50" fillId="0" borderId="0" xfId="0" applyFont="1" applyAlignment="1"/>
    <xf numFmtId="0" fontId="38" fillId="0" borderId="67" xfId="0" applyFont="1" applyBorder="1"/>
    <xf numFmtId="0" fontId="38" fillId="0" borderId="67" xfId="0" applyFont="1" applyBorder="1" applyAlignment="1">
      <alignment horizontal="right" vertical="top" wrapText="1"/>
    </xf>
    <xf numFmtId="0" fontId="38" fillId="0" borderId="0" xfId="0" applyFont="1" applyBorder="1" applyAlignment="1">
      <alignment horizontal="right" vertical="top" wrapText="1"/>
    </xf>
    <xf numFmtId="0" fontId="38" fillId="0" borderId="99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00" xfId="0" applyFont="1" applyBorder="1"/>
    <xf numFmtId="0" fontId="38" fillId="0" borderId="21" xfId="0" applyFont="1" applyBorder="1"/>
    <xf numFmtId="166" fontId="38" fillId="0" borderId="0" xfId="0" applyNumberFormat="1" applyFont="1" applyBorder="1" applyAlignment="1">
      <alignment horizontal="left"/>
    </xf>
    <xf numFmtId="0" fontId="56" fillId="9" borderId="96" xfId="0" applyFont="1" applyFill="1" applyBorder="1" applyAlignment="1">
      <alignment horizontal="center"/>
    </xf>
    <xf numFmtId="0" fontId="56" fillId="9" borderId="97" xfId="0" applyFont="1" applyFill="1" applyBorder="1" applyAlignment="1">
      <alignment horizontal="center"/>
    </xf>
    <xf numFmtId="0" fontId="56" fillId="9" borderId="98" xfId="0" applyFont="1" applyFill="1" applyBorder="1" applyAlignment="1">
      <alignment horizontal="center"/>
    </xf>
    <xf numFmtId="0" fontId="60" fillId="15" borderId="49" xfId="0" applyFont="1" applyFill="1" applyBorder="1" applyAlignment="1">
      <alignment horizontal="center" vertical="center"/>
    </xf>
    <xf numFmtId="0" fontId="60" fillId="15" borderId="50" xfId="0" applyFont="1" applyFill="1" applyBorder="1" applyAlignment="1">
      <alignment horizontal="center" vertical="center"/>
    </xf>
    <xf numFmtId="0" fontId="60" fillId="15" borderId="51" xfId="0" applyFont="1" applyFill="1" applyBorder="1" applyAlignment="1">
      <alignment horizontal="center" vertical="center"/>
    </xf>
    <xf numFmtId="0" fontId="56" fillId="11" borderId="93" xfId="0" applyFont="1" applyFill="1" applyBorder="1" applyAlignment="1">
      <alignment horizontal="center"/>
    </xf>
    <xf numFmtId="0" fontId="56" fillId="11" borderId="94" xfId="0" applyFont="1" applyFill="1" applyBorder="1" applyAlignment="1">
      <alignment horizontal="center"/>
    </xf>
    <xf numFmtId="0" fontId="56" fillId="11" borderId="95" xfId="0" applyFont="1" applyFill="1" applyBorder="1" applyAlignment="1">
      <alignment horizontal="center"/>
    </xf>
    <xf numFmtId="0" fontId="70" fillId="0" borderId="73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 wrapText="1"/>
    </xf>
    <xf numFmtId="0" fontId="50" fillId="11" borderId="0" xfId="0" applyFont="1" applyFill="1" applyBorder="1" applyAlignment="1">
      <alignment horizontal="right" wrapText="1"/>
    </xf>
    <xf numFmtId="165" fontId="38" fillId="0" borderId="0" xfId="1" applyFont="1" applyFill="1" applyBorder="1" applyAlignment="1">
      <alignment horizontal="right"/>
    </xf>
    <xf numFmtId="44" fontId="38" fillId="0" borderId="0" xfId="0" applyNumberFormat="1" applyFont="1" applyAlignment="1">
      <alignment horizontal="center"/>
    </xf>
    <xf numFmtId="0" fontId="38" fillId="0" borderId="0" xfId="0" applyFont="1"/>
    <xf numFmtId="166" fontId="38" fillId="0" borderId="0" xfId="0" applyNumberFormat="1" applyFont="1" applyAlignment="1">
      <alignment horizontal="left"/>
    </xf>
    <xf numFmtId="165" fontId="38" fillId="0" borderId="0" xfId="1" applyFont="1" applyAlignment="1">
      <alignment horizontal="left"/>
    </xf>
    <xf numFmtId="44" fontId="59" fillId="0" borderId="0" xfId="0" applyNumberFormat="1" applyFont="1" applyAlignment="1">
      <alignment horizontal="center"/>
    </xf>
    <xf numFmtId="165" fontId="38" fillId="0" borderId="0" xfId="1" applyFont="1" applyFill="1" applyBorder="1" applyAlignment="1">
      <alignment horizontal="left"/>
    </xf>
    <xf numFmtId="44" fontId="72" fillId="0" borderId="0" xfId="0" applyNumberFormat="1" applyFont="1" applyAlignment="1">
      <alignment horizontal="center"/>
    </xf>
    <xf numFmtId="0" fontId="38" fillId="0" borderId="0" xfId="0" applyFont="1" applyAlignment="1">
      <alignment vertical="justify"/>
    </xf>
    <xf numFmtId="0" fontId="56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 vertical="justify"/>
    </xf>
    <xf numFmtId="0" fontId="38" fillId="0" borderId="0" xfId="0" applyFont="1" applyAlignment="1">
      <alignment horizontal="left" vertical="justify"/>
    </xf>
    <xf numFmtId="0" fontId="38" fillId="0" borderId="0" xfId="0" applyNumberFormat="1" applyFont="1" applyFill="1" applyAlignment="1">
      <alignment vertical="justify"/>
    </xf>
    <xf numFmtId="166" fontId="38" fillId="0" borderId="0" xfId="0" applyNumberFormat="1" applyFont="1" applyAlignment="1">
      <alignment horizontal="left" vertical="justify"/>
    </xf>
    <xf numFmtId="166" fontId="48" fillId="0" borderId="0" xfId="0" applyNumberFormat="1" applyFont="1" applyFill="1" applyAlignment="1">
      <alignment horizontal="center" vertical="justify"/>
    </xf>
    <xf numFmtId="0" fontId="38" fillId="0" borderId="26" xfId="0" applyFont="1" applyBorder="1" applyAlignment="1">
      <alignment horizontal="left" vertical="justify"/>
    </xf>
    <xf numFmtId="0" fontId="38" fillId="0" borderId="0" xfId="0" applyFont="1" applyAlignment="1">
      <alignment horizontal="right"/>
    </xf>
    <xf numFmtId="0" fontId="38" fillId="0" borderId="0" xfId="0" applyFont="1" applyFill="1" applyAlignment="1">
      <alignment horizontal="left" vertical="justify"/>
    </xf>
    <xf numFmtId="166" fontId="38" fillId="0" borderId="0" xfId="0" applyNumberFormat="1" applyFont="1" applyFill="1" applyAlignment="1">
      <alignment horizontal="left" vertical="justify"/>
    </xf>
    <xf numFmtId="165" fontId="38" fillId="0" borderId="0" xfId="1" applyFont="1" applyFill="1" applyBorder="1" applyAlignment="1">
      <alignment horizontal="center"/>
    </xf>
    <xf numFmtId="0" fontId="70" fillId="0" borderId="0" xfId="0" applyFont="1" applyAlignment="1">
      <alignment horizontal="right"/>
    </xf>
    <xf numFmtId="165" fontId="71" fillId="0" borderId="0" xfId="1" applyFont="1" applyFill="1" applyBorder="1" applyAlignment="1">
      <alignment horizontal="left" vertical="center"/>
    </xf>
    <xf numFmtId="0" fontId="51" fillId="0" borderId="0" xfId="0" applyFont="1" applyAlignment="1">
      <alignment horizontal="left"/>
    </xf>
    <xf numFmtId="165" fontId="38" fillId="0" borderId="0" xfId="1" applyFont="1" applyFill="1" applyBorder="1" applyAlignment="1">
      <alignment horizontal="left" vertical="center"/>
    </xf>
    <xf numFmtId="165" fontId="38" fillId="0" borderId="0" xfId="1" applyFont="1" applyFill="1" applyBorder="1" applyAlignment="1">
      <alignment horizontal="right" vertical="center"/>
    </xf>
    <xf numFmtId="0" fontId="38" fillId="0" borderId="0" xfId="0" applyFont="1" applyAlignment="1">
      <alignment horizontal="center"/>
    </xf>
    <xf numFmtId="166" fontId="48" fillId="4" borderId="26" xfId="0" applyNumberFormat="1" applyFont="1" applyFill="1" applyBorder="1" applyAlignment="1">
      <alignment horizontal="center" vertical="justify"/>
    </xf>
    <xf numFmtId="166" fontId="48" fillId="4" borderId="24" xfId="0" applyNumberFormat="1" applyFont="1" applyFill="1" applyBorder="1" applyAlignment="1">
      <alignment horizontal="center" vertical="justify"/>
    </xf>
    <xf numFmtId="0" fontId="38" fillId="0" borderId="25" xfId="0" applyFont="1" applyBorder="1" applyAlignment="1">
      <alignment horizontal="left" vertical="justify"/>
    </xf>
    <xf numFmtId="0" fontId="38" fillId="0" borderId="0" xfId="0" applyFont="1" applyBorder="1" applyAlignment="1">
      <alignment horizontal="left" vertical="justify"/>
    </xf>
    <xf numFmtId="0" fontId="50" fillId="0" borderId="0" xfId="0" applyFont="1" applyFill="1" applyAlignment="1">
      <alignment horizontal="left" vertical="justify"/>
    </xf>
    <xf numFmtId="0" fontId="0" fillId="0" borderId="0" xfId="0" applyAlignment="1">
      <alignment horizontal="center"/>
    </xf>
    <xf numFmtId="0" fontId="50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16" fillId="1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27" fillId="0" borderId="55" xfId="1" applyFont="1" applyBorder="1" applyAlignment="1">
      <alignment horizontal="center" vertical="center"/>
    </xf>
    <xf numFmtId="165" fontId="27" fillId="0" borderId="57" xfId="1" applyFont="1" applyBorder="1" applyAlignment="1">
      <alignment horizontal="center" vertical="center"/>
    </xf>
    <xf numFmtId="165" fontId="28" fillId="4" borderId="58" xfId="1" applyFont="1" applyFill="1" applyBorder="1" applyAlignment="1" applyProtection="1">
      <alignment horizontal="center" vertical="center"/>
    </xf>
    <xf numFmtId="165" fontId="28" fillId="4" borderId="59" xfId="1" applyFont="1" applyFill="1" applyBorder="1" applyAlignment="1" applyProtection="1">
      <alignment horizontal="center" vertical="center"/>
    </xf>
    <xf numFmtId="0" fontId="29" fillId="0" borderId="14" xfId="0" applyFont="1" applyBorder="1" applyAlignment="1">
      <alignment horizontal="center"/>
    </xf>
    <xf numFmtId="165" fontId="27" fillId="0" borderId="55" xfId="1" applyFont="1" applyBorder="1" applyAlignment="1">
      <alignment horizontal="center" vertical="center" wrapText="1"/>
    </xf>
    <xf numFmtId="165" fontId="27" fillId="0" borderId="56" xfId="1" applyFont="1" applyBorder="1" applyAlignment="1">
      <alignment horizontal="center" vertical="center" wrapText="1"/>
    </xf>
    <xf numFmtId="165" fontId="27" fillId="0" borderId="57" xfId="1" applyFont="1" applyBorder="1" applyAlignment="1">
      <alignment horizontal="center" vertical="center" wrapText="1"/>
    </xf>
    <xf numFmtId="165" fontId="28" fillId="4" borderId="55" xfId="1" applyFont="1" applyFill="1" applyBorder="1" applyAlignment="1" applyProtection="1">
      <alignment horizontal="center" vertical="center"/>
    </xf>
    <xf numFmtId="165" fontId="28" fillId="4" borderId="56" xfId="1" applyFont="1" applyFill="1" applyBorder="1" applyAlignment="1" applyProtection="1">
      <alignment horizontal="center" vertical="center"/>
    </xf>
    <xf numFmtId="165" fontId="28" fillId="4" borderId="57" xfId="1" applyFont="1" applyFill="1" applyBorder="1" applyAlignment="1" applyProtection="1">
      <alignment horizontal="center" vertical="center"/>
    </xf>
    <xf numFmtId="43" fontId="25" fillId="0" borderId="23" xfId="2" applyNumberFormat="1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30" fillId="3" borderId="52" xfId="0" applyFont="1" applyFill="1" applyBorder="1" applyAlignment="1">
      <alignment horizontal="left" vertical="center"/>
    </xf>
    <xf numFmtId="0" fontId="30" fillId="3" borderId="53" xfId="0" applyFont="1" applyFill="1" applyBorder="1" applyAlignment="1">
      <alignment horizontal="left" vertical="center"/>
    </xf>
    <xf numFmtId="0" fontId="30" fillId="3" borderId="54" xfId="0" applyFont="1" applyFill="1" applyBorder="1" applyAlignment="1">
      <alignment horizontal="left" vertical="center"/>
    </xf>
    <xf numFmtId="0" fontId="30" fillId="3" borderId="55" xfId="0" applyFont="1" applyFill="1" applyBorder="1" applyAlignment="1">
      <alignment horizontal="left" vertical="center"/>
    </xf>
    <xf numFmtId="0" fontId="30" fillId="3" borderId="56" xfId="0" applyFont="1" applyFill="1" applyBorder="1" applyAlignment="1">
      <alignment horizontal="left" vertical="center"/>
    </xf>
    <xf numFmtId="0" fontId="30" fillId="3" borderId="57" xfId="0" applyFont="1" applyFill="1" applyBorder="1" applyAlignment="1">
      <alignment horizontal="left" vertical="center"/>
    </xf>
    <xf numFmtId="165" fontId="29" fillId="0" borderId="0" xfId="1" applyFont="1" applyAlignment="1">
      <alignment horizontal="center"/>
    </xf>
    <xf numFmtId="165" fontId="28" fillId="0" borderId="55" xfId="1" applyFont="1" applyBorder="1" applyAlignment="1">
      <alignment horizontal="center" vertical="center"/>
    </xf>
    <xf numFmtId="165" fontId="28" fillId="0" borderId="57" xfId="1" applyFont="1" applyBorder="1" applyAlignment="1">
      <alignment horizontal="center" vertical="center"/>
    </xf>
    <xf numFmtId="9" fontId="28" fillId="0" borderId="55" xfId="3" applyNumberFormat="1" applyFont="1" applyBorder="1" applyAlignment="1">
      <alignment horizontal="right" vertical="center"/>
    </xf>
    <xf numFmtId="9" fontId="28" fillId="0" borderId="57" xfId="3" applyNumberFormat="1" applyFont="1" applyBorder="1" applyAlignment="1">
      <alignment horizontal="right" vertical="center"/>
    </xf>
    <xf numFmtId="9" fontId="28" fillId="0" borderId="55" xfId="3" applyFont="1" applyBorder="1" applyAlignment="1">
      <alignment horizontal="center" vertical="center"/>
    </xf>
    <xf numFmtId="9" fontId="28" fillId="0" borderId="57" xfId="3" applyFont="1" applyBorder="1" applyAlignment="1">
      <alignment horizontal="center" vertical="center"/>
    </xf>
    <xf numFmtId="165" fontId="28" fillId="0" borderId="56" xfId="1" applyFont="1" applyBorder="1" applyAlignment="1">
      <alignment horizontal="center" vertical="center"/>
    </xf>
    <xf numFmtId="9" fontId="28" fillId="0" borderId="56" xfId="3" applyFont="1" applyBorder="1" applyAlignment="1">
      <alignment horizontal="center" vertical="center"/>
    </xf>
    <xf numFmtId="0" fontId="22" fillId="3" borderId="16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6" fillId="3" borderId="55" xfId="0" applyFont="1" applyFill="1" applyBorder="1" applyAlignment="1">
      <alignment horizontal="left" vertical="center"/>
    </xf>
    <xf numFmtId="0" fontId="26" fillId="3" borderId="56" xfId="0" applyFont="1" applyFill="1" applyBorder="1" applyAlignment="1">
      <alignment horizontal="left" vertical="center"/>
    </xf>
    <xf numFmtId="0" fontId="26" fillId="3" borderId="57" xfId="0" applyFont="1" applyFill="1" applyBorder="1" applyAlignment="1">
      <alignment horizontal="left" vertical="center"/>
    </xf>
    <xf numFmtId="166" fontId="36" fillId="0" borderId="10" xfId="1" applyNumberFormat="1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9" fontId="28" fillId="0" borderId="55" xfId="3" applyNumberFormat="1" applyFont="1" applyBorder="1" applyAlignment="1">
      <alignment horizontal="center" vertical="center"/>
    </xf>
    <xf numFmtId="9" fontId="28" fillId="0" borderId="57" xfId="3" applyNumberFormat="1" applyFont="1" applyBorder="1" applyAlignment="1">
      <alignment horizontal="center" vertical="center"/>
    </xf>
    <xf numFmtId="166" fontId="36" fillId="0" borderId="10" xfId="4" applyNumberFormat="1" applyFont="1" applyBorder="1" applyAlignment="1">
      <alignment horizontal="center"/>
    </xf>
    <xf numFmtId="0" fontId="26" fillId="0" borderId="55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6" fillId="3" borderId="52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left" vertical="center"/>
    </xf>
    <xf numFmtId="0" fontId="26" fillId="3" borderId="54" xfId="0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center"/>
    </xf>
    <xf numFmtId="43" fontId="42" fillId="0" borderId="0" xfId="2" applyNumberFormat="1" applyFont="1" applyBorder="1" applyAlignment="1">
      <alignment horizontal="center"/>
    </xf>
    <xf numFmtId="43" fontId="15" fillId="0" borderId="0" xfId="2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3" fontId="41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43" fillId="0" borderId="0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3" fontId="13" fillId="0" borderId="2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9" fillId="8" borderId="2" xfId="0" applyNumberFormat="1" applyFont="1" applyFill="1" applyBorder="1" applyAlignment="1">
      <alignment horizontal="center"/>
    </xf>
    <xf numFmtId="3" fontId="9" fillId="8" borderId="0" xfId="0" applyNumberFormat="1" applyFont="1" applyFill="1" applyBorder="1" applyAlignment="1">
      <alignment horizontal="center"/>
    </xf>
    <xf numFmtId="3" fontId="8" fillId="3" borderId="60" xfId="0" applyNumberFormat="1" applyFont="1" applyFill="1" applyBorder="1" applyAlignment="1">
      <alignment horizontal="center"/>
    </xf>
    <xf numFmtId="3" fontId="8" fillId="3" borderId="61" xfId="0" applyNumberFormat="1" applyFont="1" applyFill="1" applyBorder="1" applyAlignment="1">
      <alignment horizontal="center"/>
    </xf>
    <xf numFmtId="3" fontId="8" fillId="3" borderId="62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0" fillId="0" borderId="63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18" fillId="7" borderId="4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</cellXfs>
  <cellStyles count="5">
    <cellStyle name="Euro" xfId="1"/>
    <cellStyle name="Migliaia" xfId="2" builtinId="3"/>
    <cellStyle name="Normale" xfId="0" builtinId="0"/>
    <cellStyle name="Percentuale" xfId="3" builtinId="5"/>
    <cellStyle name="Valuta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161925</xdr:colOff>
      <xdr:row>3</xdr:row>
      <xdr:rowOff>0</xdr:rowOff>
    </xdr:to>
    <xdr:pic>
      <xdr:nvPicPr>
        <xdr:cNvPr id="56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4572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57150</xdr:rowOff>
    </xdr:from>
    <xdr:to>
      <xdr:col>1</xdr:col>
      <xdr:colOff>685800</xdr:colOff>
      <xdr:row>3</xdr:row>
      <xdr:rowOff>161925</xdr:rowOff>
    </xdr:to>
    <xdr:pic>
      <xdr:nvPicPr>
        <xdr:cNvPr id="25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523875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57150</xdr:rowOff>
    </xdr:from>
    <xdr:to>
      <xdr:col>1</xdr:col>
      <xdr:colOff>685800</xdr:colOff>
      <xdr:row>2</xdr:row>
      <xdr:rowOff>161925</xdr:rowOff>
    </xdr:to>
    <xdr:pic>
      <xdr:nvPicPr>
        <xdr:cNvPr id="36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7150"/>
          <a:ext cx="533400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Z52"/>
  <sheetViews>
    <sheetView zoomScale="130" zoomScaleNormal="130" workbookViewId="0">
      <selection activeCell="F43" sqref="F43"/>
    </sheetView>
  </sheetViews>
  <sheetFormatPr defaultRowHeight="12.75"/>
  <cols>
    <col min="2" max="2" width="11.85546875" customWidth="1"/>
    <col min="3" max="3" width="10.140625" bestFit="1" customWidth="1"/>
    <col min="9" max="9" width="10.140625" bestFit="1" customWidth="1"/>
    <col min="10" max="10" width="9.5703125" bestFit="1" customWidth="1"/>
    <col min="11" max="11" width="10.5703125" customWidth="1"/>
    <col min="12" max="12" width="11" customWidth="1"/>
    <col min="14" max="14" width="13.28515625" customWidth="1"/>
    <col min="15" max="15" width="1.85546875" customWidth="1"/>
    <col min="16" max="18" width="2.42578125" customWidth="1"/>
    <col min="19" max="19" width="2.28515625" customWidth="1"/>
    <col min="20" max="20" width="2.42578125" customWidth="1"/>
  </cols>
  <sheetData>
    <row r="1" spans="1:26" ht="13.5" customHeight="1">
      <c r="A1" s="478" t="s">
        <v>75</v>
      </c>
      <c r="B1" s="478"/>
      <c r="C1" s="253">
        <v>42822</v>
      </c>
      <c r="E1" s="464" t="s">
        <v>119</v>
      </c>
      <c r="F1" s="464"/>
      <c r="G1" s="464"/>
      <c r="H1" s="464"/>
      <c r="I1" s="253">
        <v>40498</v>
      </c>
    </row>
    <row r="2" spans="1:26" ht="13.5" customHeight="1">
      <c r="A2" s="478" t="s">
        <v>76</v>
      </c>
      <c r="B2" s="478"/>
      <c r="C2" s="256" t="s">
        <v>302</v>
      </c>
    </row>
    <row r="3" spans="1:26" ht="13.5" customHeight="1">
      <c r="A3" s="478" t="s">
        <v>77</v>
      </c>
      <c r="B3" s="478"/>
      <c r="C3" s="476" t="s">
        <v>301</v>
      </c>
      <c r="D3" s="477"/>
      <c r="E3" s="477"/>
      <c r="F3" s="477"/>
      <c r="G3" s="477"/>
      <c r="H3" s="477"/>
      <c r="I3" s="477"/>
      <c r="J3" s="477"/>
      <c r="K3" s="477"/>
    </row>
    <row r="4" spans="1:26" ht="13.5" customHeight="1">
      <c r="A4" s="478" t="s">
        <v>78</v>
      </c>
      <c r="B4" s="478"/>
      <c r="C4" s="473" t="s">
        <v>312</v>
      </c>
      <c r="D4" s="481"/>
      <c r="E4" s="481"/>
      <c r="F4" s="481"/>
      <c r="G4" s="481"/>
      <c r="H4" s="481"/>
      <c r="I4" s="481"/>
      <c r="J4" s="481"/>
      <c r="K4" s="481"/>
    </row>
    <row r="5" spans="1:26" ht="13.5" customHeight="1">
      <c r="A5" s="478" t="s">
        <v>73</v>
      </c>
      <c r="B5" s="478"/>
      <c r="C5" s="260" t="s">
        <v>79</v>
      </c>
      <c r="D5" s="175"/>
      <c r="E5" s="475" t="str">
        <f>IF($C$5="","IL TITOLO DEVE ESSERE INSERITO: SELEZIONALO DALL'ELENCO","")</f>
        <v/>
      </c>
      <c r="F5" s="475"/>
      <c r="G5" s="475"/>
      <c r="H5" s="475"/>
      <c r="I5" s="475"/>
      <c r="J5" s="475"/>
      <c r="K5" s="475"/>
    </row>
    <row r="6" spans="1:26" ht="13.5" customHeight="1">
      <c r="A6" s="478" t="s">
        <v>74</v>
      </c>
      <c r="B6" s="478"/>
      <c r="C6" s="473" t="s">
        <v>311</v>
      </c>
      <c r="D6" s="474"/>
      <c r="E6" s="474"/>
      <c r="F6" s="474"/>
      <c r="G6" s="474"/>
      <c r="H6" s="474"/>
      <c r="I6" s="474"/>
      <c r="J6" s="474"/>
      <c r="K6" s="474"/>
    </row>
    <row r="7" spans="1:26" ht="13.5" customHeight="1">
      <c r="A7" s="457" t="s">
        <v>82</v>
      </c>
      <c r="B7" s="457"/>
      <c r="C7" s="457"/>
      <c r="D7" s="254"/>
      <c r="E7" s="454" t="str">
        <f>IF($D$7="si","Fino/Prima o Dopo avviso di vendita:","")</f>
        <v/>
      </c>
      <c r="F7" s="454"/>
      <c r="G7" s="454"/>
      <c r="H7" s="454"/>
      <c r="I7" s="206"/>
      <c r="K7" s="462" t="str">
        <f>IF(AND($I$7&lt;&gt;0,$D$7&lt;&gt;"si"),"MODIFICA O SELEZIONA 'si' su ESTINZIONE ANTICIPATA","")</f>
        <v/>
      </c>
      <c r="L7" s="462"/>
      <c r="M7" s="462" t="str">
        <f>IF(AND($D$7="si",$I$7=""),"SELEZIONA UNA VOCE DALLA CASELLA 'PRIMA O DOPO LA PUBBLICITA'","")</f>
        <v/>
      </c>
      <c r="N7" s="462"/>
      <c r="O7" s="109"/>
    </row>
    <row r="8" spans="1:26" ht="13.5" customHeight="1">
      <c r="A8" s="457" t="s">
        <v>109</v>
      </c>
      <c r="B8" s="457"/>
      <c r="C8" s="208" t="s">
        <v>83</v>
      </c>
      <c r="D8" s="105"/>
      <c r="F8" s="105"/>
      <c r="G8" s="479" t="str">
        <f>IF($C$8="","SELEZIONARE 'si' O 'no'","")</f>
        <v/>
      </c>
      <c r="H8" s="479"/>
      <c r="I8" s="479"/>
      <c r="J8" s="479"/>
      <c r="K8" s="462"/>
      <c r="L8" s="462"/>
      <c r="M8" s="462"/>
      <c r="N8" s="462"/>
    </row>
    <row r="9" spans="1:26" ht="13.5" customHeight="1">
      <c r="A9" s="457" t="s">
        <v>81</v>
      </c>
      <c r="B9" s="457"/>
      <c r="C9" s="255">
        <v>2</v>
      </c>
      <c r="E9" s="480" t="str">
        <f>IF($C$9&gt;5,"IL COMPENSO VERRA' LIQUIDATO SOLO SUI PRIMI 5 LOTTI","")</f>
        <v/>
      </c>
      <c r="F9" s="480"/>
      <c r="G9" s="480"/>
      <c r="H9" s="480"/>
      <c r="I9" s="480"/>
      <c r="J9" s="480"/>
      <c r="K9" s="462"/>
      <c r="L9" s="462"/>
      <c r="M9" s="462"/>
      <c r="N9" s="462"/>
    </row>
    <row r="10" spans="1:26" ht="13.5" customHeight="1">
      <c r="A10" s="468" t="s">
        <v>248</v>
      </c>
      <c r="B10" s="468"/>
      <c r="C10" s="464" t="s">
        <v>66</v>
      </c>
      <c r="D10" s="464"/>
      <c r="E10" s="464" t="s">
        <v>67</v>
      </c>
      <c r="F10" s="464"/>
      <c r="G10" s="464" t="s">
        <v>68</v>
      </c>
      <c r="H10" s="464"/>
      <c r="I10" s="464" t="s">
        <v>69</v>
      </c>
      <c r="J10" s="464"/>
      <c r="K10" s="464" t="s">
        <v>70</v>
      </c>
      <c r="L10" s="464"/>
      <c r="M10" s="259"/>
      <c r="N10" s="398" t="s">
        <v>64</v>
      </c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13.5" customHeight="1">
      <c r="A11" s="468"/>
      <c r="B11" s="468"/>
      <c r="C11" s="463">
        <v>3639.66</v>
      </c>
      <c r="D11" s="461"/>
      <c r="E11" s="463">
        <v>71250</v>
      </c>
      <c r="F11" s="461"/>
      <c r="G11" s="463">
        <v>0</v>
      </c>
      <c r="H11" s="461"/>
      <c r="I11" s="463"/>
      <c r="J11" s="461"/>
      <c r="K11" s="463"/>
      <c r="L11" s="461"/>
      <c r="M11" s="259"/>
      <c r="N11" s="399">
        <f>SUM($C$11:$K$11)</f>
        <v>74889.66</v>
      </c>
      <c r="O11" s="400">
        <f>IF(C11&gt;0,1,0)</f>
        <v>1</v>
      </c>
      <c r="P11" s="400">
        <f>IF(D11&gt;0,1,0)</f>
        <v>0</v>
      </c>
      <c r="Q11" s="400">
        <f>IF(E11&gt;0,1,0)</f>
        <v>1</v>
      </c>
      <c r="R11" s="400">
        <f>IF(F11&gt;0,1,0)</f>
        <v>0</v>
      </c>
      <c r="S11" s="400">
        <f>IF(G11&gt;0,1,0)</f>
        <v>0</v>
      </c>
      <c r="T11" s="400">
        <f>SUM(O11:S11)</f>
        <v>2</v>
      </c>
      <c r="U11" s="259"/>
      <c r="V11" s="259"/>
      <c r="W11" s="259"/>
      <c r="X11" s="259"/>
      <c r="Y11" s="259"/>
      <c r="Z11" s="259"/>
    </row>
    <row r="12" spans="1:26" ht="13.5" customHeight="1">
      <c r="A12" s="440"/>
      <c r="B12" s="441"/>
      <c r="C12" s="369"/>
      <c r="D12" s="370"/>
      <c r="E12" s="369"/>
      <c r="F12" s="370"/>
      <c r="G12" s="369"/>
      <c r="H12" s="370"/>
      <c r="I12" s="369"/>
      <c r="J12" s="370"/>
      <c r="K12" s="369"/>
      <c r="L12" s="370"/>
      <c r="M12" s="259"/>
      <c r="N12" s="401"/>
      <c r="O12" s="400"/>
      <c r="P12" s="400"/>
      <c r="Q12" s="400"/>
      <c r="R12" s="400"/>
      <c r="S12" s="400"/>
      <c r="T12" s="400"/>
      <c r="U12" s="259"/>
      <c r="V12" s="259"/>
      <c r="W12" s="259"/>
      <c r="X12" s="259"/>
      <c r="Y12" s="259"/>
      <c r="Z12" s="259"/>
    </row>
    <row r="13" spans="1:26" ht="13.5" customHeight="1">
      <c r="A13" s="440" t="s">
        <v>254</v>
      </c>
      <c r="B13" s="441"/>
      <c r="C13" s="305"/>
      <c r="D13" s="306">
        <v>1</v>
      </c>
      <c r="E13" s="305"/>
      <c r="F13" s="306">
        <v>1</v>
      </c>
      <c r="G13" s="305"/>
      <c r="H13" s="306">
        <v>0</v>
      </c>
      <c r="I13" s="305"/>
      <c r="J13" s="306">
        <v>0</v>
      </c>
      <c r="K13" s="305"/>
      <c r="L13" s="306">
        <v>0</v>
      </c>
      <c r="M13" s="259"/>
      <c r="N13" s="402">
        <f>SUM(U13:Y13)</f>
        <v>0</v>
      </c>
      <c r="O13" s="400"/>
      <c r="P13" s="400"/>
      <c r="Q13" s="400"/>
      <c r="R13" s="400"/>
      <c r="S13" s="400"/>
      <c r="T13" s="400"/>
      <c r="U13" s="259">
        <f>IF(D13=0,C25,0)</f>
        <v>0</v>
      </c>
      <c r="V13" s="259">
        <f>IF(F13=0,E25,0)</f>
        <v>0</v>
      </c>
      <c r="W13" s="259">
        <f>IF(H13=0,G25,0)</f>
        <v>0</v>
      </c>
      <c r="X13" s="259">
        <f>IF(J13=0,I25,0)</f>
        <v>0</v>
      </c>
      <c r="Y13" s="259">
        <f>IF(L13=0,K25,0)</f>
        <v>0</v>
      </c>
      <c r="Z13" s="259"/>
    </row>
    <row r="14" spans="1:26" ht="13.5" customHeight="1">
      <c r="A14" s="440" t="s">
        <v>253</v>
      </c>
      <c r="B14" s="441"/>
      <c r="C14" s="304"/>
      <c r="D14" s="306">
        <v>0</v>
      </c>
      <c r="E14" s="310"/>
      <c r="F14" s="306">
        <v>0</v>
      </c>
      <c r="G14" s="310"/>
      <c r="H14" s="306">
        <v>0</v>
      </c>
      <c r="I14" s="310"/>
      <c r="J14" s="306"/>
      <c r="K14" s="310"/>
      <c r="L14" s="306"/>
      <c r="M14" s="259"/>
      <c r="N14" s="402">
        <f>SUM(U14:Y14)</f>
        <v>0</v>
      </c>
      <c r="O14" s="400"/>
      <c r="P14" s="400"/>
      <c r="Q14" s="400"/>
      <c r="R14" s="400"/>
      <c r="S14" s="400"/>
      <c r="T14" s="400"/>
      <c r="U14" s="259">
        <f>IF(D14=1,C25,0)</f>
        <v>0</v>
      </c>
      <c r="V14" s="259">
        <f>IF(F14=1,E25,0)</f>
        <v>0</v>
      </c>
      <c r="W14" s="259">
        <f>IF(H14=1,G25,0)</f>
        <v>0</v>
      </c>
      <c r="X14" s="259">
        <f>IF(J14=1,I25,0)</f>
        <v>0</v>
      </c>
      <c r="Y14" s="259">
        <f>IF(L14=1,K25,0)</f>
        <v>0</v>
      </c>
      <c r="Z14" s="259"/>
    </row>
    <row r="15" spans="1:26" ht="13.5" customHeight="1">
      <c r="A15" s="472" t="s">
        <v>120</v>
      </c>
      <c r="B15" s="472"/>
      <c r="C15" s="458"/>
      <c r="D15" s="459"/>
      <c r="E15" s="458"/>
      <c r="F15" s="459"/>
      <c r="G15" s="458"/>
      <c r="H15" s="459"/>
      <c r="I15" s="458"/>
      <c r="J15" s="459"/>
      <c r="K15" s="458"/>
      <c r="L15" s="459"/>
      <c r="M15" s="259"/>
      <c r="N15" s="403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</row>
    <row r="16" spans="1:26">
      <c r="A16" s="469" t="s">
        <v>121</v>
      </c>
      <c r="B16" s="469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259"/>
      <c r="N16" s="403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>
      <c r="A17" s="469"/>
      <c r="B17" s="469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259"/>
      <c r="N17" s="403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</row>
    <row r="18" spans="1:26">
      <c r="A18" s="469"/>
      <c r="B18" s="469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259"/>
      <c r="N18" s="403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>
      <c r="A19" s="469"/>
      <c r="B19" s="469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259"/>
      <c r="N19" s="403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>
      <c r="A20" s="469"/>
      <c r="B20" s="469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259"/>
      <c r="N20" s="403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</row>
    <row r="21" spans="1:26">
      <c r="A21" s="449"/>
      <c r="B21" s="449"/>
      <c r="C21" s="482">
        <f>IF(AND($C$16&lt;=0,$C$17&lt;=0,$C$18&lt;=0,$C$19&lt;=0,$C$20&lt;=0),0,(COUNTA(C16:C20)))</f>
        <v>0</v>
      </c>
      <c r="D21" s="482"/>
      <c r="E21" s="482">
        <f>IF(AND($E$16&lt;=0,$E$17&lt;=0,$E$18&lt;=0,$E$19&lt;=0,$E$20&lt;=0),0,(COUNTA(E16:E20)))</f>
        <v>0</v>
      </c>
      <c r="F21" s="482"/>
      <c r="G21" s="482">
        <f>IF(AND($G$16&lt;=0,$G$17&lt;=0,$G$18&lt;=0,$G$19&lt;=0,$G$20&lt;=0),0,(COUNTA(G16:G20)))</f>
        <v>0</v>
      </c>
      <c r="H21" s="482"/>
      <c r="I21" s="482">
        <f>IF(AND($I$16&lt;=0,$I$17&lt;=0,$I$18&lt;=0,$I$19&lt;=0,$I$20&lt;=0),0,(COUNTA(I16:I20)))</f>
        <v>0</v>
      </c>
      <c r="J21" s="482"/>
      <c r="K21" s="482">
        <f>IF(AND($K$16&lt;=0,$K$17&lt;=0,$K$18&lt;=0,$K$19&lt;=0,$K$20&lt;=0),0,(COUNTA(K16:K20)))</f>
        <v>0</v>
      </c>
      <c r="L21" s="482"/>
      <c r="M21" s="259"/>
      <c r="N21" s="403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>
      <c r="A22" s="483" t="s">
        <v>260</v>
      </c>
      <c r="B22" s="483"/>
      <c r="C22" s="483"/>
      <c r="D22" s="257" t="s">
        <v>190</v>
      </c>
      <c r="E22" s="203"/>
      <c r="F22" s="257" t="s">
        <v>190</v>
      </c>
      <c r="G22" s="203"/>
      <c r="H22" s="257" t="s">
        <v>190</v>
      </c>
      <c r="I22" s="203"/>
      <c r="J22" s="257" t="s">
        <v>190</v>
      </c>
      <c r="K22" s="203"/>
      <c r="L22" s="257" t="s">
        <v>190</v>
      </c>
      <c r="M22" s="259"/>
      <c r="N22" s="403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>
      <c r="A23" s="444" t="s">
        <v>87</v>
      </c>
      <c r="B23" s="444"/>
      <c r="C23" s="471"/>
      <c r="D23" s="471"/>
      <c r="E23" s="470"/>
      <c r="F23" s="471"/>
      <c r="G23" s="470"/>
      <c r="H23" s="471"/>
      <c r="I23" s="470"/>
      <c r="J23" s="471"/>
      <c r="K23" s="470"/>
      <c r="L23" s="471"/>
      <c r="M23" s="259" t="s">
        <v>64</v>
      </c>
      <c r="N23" s="401">
        <f>SUM($C$23:$K$23)</f>
        <v>0</v>
      </c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</row>
    <row r="24" spans="1:26">
      <c r="A24" s="485" t="s">
        <v>100</v>
      </c>
      <c r="B24" s="485"/>
      <c r="C24" s="465">
        <v>1</v>
      </c>
      <c r="D24" s="465"/>
      <c r="E24" s="465">
        <v>2</v>
      </c>
      <c r="F24" s="465"/>
      <c r="G24" s="465">
        <v>3</v>
      </c>
      <c r="H24" s="465"/>
      <c r="I24" s="465">
        <v>4</v>
      </c>
      <c r="J24" s="465"/>
      <c r="K24" s="465">
        <v>5</v>
      </c>
      <c r="L24" s="465"/>
      <c r="M24" s="259"/>
      <c r="N24" s="403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>
      <c r="A25" s="204">
        <f>IF($C$25&lt;=0, 0,IF(AND($C$25&gt;0,$E$25&lt;=0),1,IF(AND($E25&gt;0,$G$25&lt;=0),2,IF(AND($G$25&gt;0,$I$25&lt;=0),3,IF(AND($I$25&gt;0,$K$25&lt;=0),4,5)))))</f>
        <v>2</v>
      </c>
      <c r="B25" s="205"/>
      <c r="C25" s="461">
        <v>3639.66</v>
      </c>
      <c r="D25" s="461"/>
      <c r="E25" s="461">
        <v>71250</v>
      </c>
      <c r="F25" s="461"/>
      <c r="G25" s="461"/>
      <c r="H25" s="461"/>
      <c r="I25" s="461"/>
      <c r="J25" s="461"/>
      <c r="K25" s="461"/>
      <c r="L25" s="461"/>
      <c r="M25" s="259" t="s">
        <v>64</v>
      </c>
      <c r="N25" s="401">
        <f>SUM($C$25:$K$25)</f>
        <v>74889.66</v>
      </c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>
      <c r="A26" s="484" t="s">
        <v>256</v>
      </c>
      <c r="B26" s="484"/>
      <c r="C26" s="467">
        <v>5</v>
      </c>
      <c r="D26" s="467"/>
      <c r="E26" s="467"/>
      <c r="F26" s="467"/>
      <c r="G26" s="467"/>
      <c r="H26" s="467"/>
      <c r="I26" s="467"/>
      <c r="J26" s="467"/>
      <c r="K26" s="467"/>
      <c r="L26" s="467"/>
      <c r="M26" s="466" t="str">
        <f>IF(SUM($C$11:$K$11)=SUM($C$25:$L$25),"OK","il valore dei decreti è difforme dal ricavato")</f>
        <v>OK</v>
      </c>
      <c r="N26" s="466"/>
    </row>
    <row r="27" spans="1:26">
      <c r="A27" s="443"/>
      <c r="B27" s="443"/>
      <c r="C27" s="207"/>
      <c r="L27" s="404">
        <f>SUM($C$26:$K$26)</f>
        <v>5</v>
      </c>
      <c r="M27" s="466"/>
      <c r="N27" s="466"/>
    </row>
    <row r="28" spans="1:26">
      <c r="A28" s="443"/>
      <c r="B28" s="443"/>
      <c r="C28" s="463"/>
      <c r="D28" s="463"/>
    </row>
    <row r="29" spans="1:26">
      <c r="A29" s="443"/>
      <c r="B29" s="443"/>
      <c r="C29" s="209"/>
      <c r="G29" s="2"/>
    </row>
    <row r="30" spans="1:26" ht="15.75" customHeight="1">
      <c r="A30" s="450" t="s">
        <v>88</v>
      </c>
      <c r="B30" s="451"/>
      <c r="C30" s="451"/>
      <c r="D30" s="501" t="s">
        <v>293</v>
      </c>
      <c r="E30" s="503"/>
      <c r="F30" s="501" t="s">
        <v>294</v>
      </c>
      <c r="G30" s="502"/>
      <c r="H30" s="503"/>
      <c r="I30" s="490" t="s">
        <v>296</v>
      </c>
      <c r="J30" s="491"/>
      <c r="K30" s="492" t="s">
        <v>295</v>
      </c>
      <c r="L30" s="493"/>
      <c r="M30" s="493"/>
    </row>
    <row r="31" spans="1:26">
      <c r="A31" s="452"/>
      <c r="B31" s="453"/>
      <c r="C31" s="453"/>
      <c r="D31" s="498"/>
      <c r="E31" s="500"/>
      <c r="F31" s="498"/>
      <c r="G31" s="499"/>
      <c r="H31" s="500"/>
      <c r="I31" s="488">
        <f>$D$31+$F$31</f>
        <v>0</v>
      </c>
      <c r="J31" s="489"/>
      <c r="K31" s="495">
        <f>$N$11+$N$23+$I$31</f>
        <v>74889.66</v>
      </c>
      <c r="L31" s="495"/>
      <c r="M31" s="495"/>
    </row>
    <row r="32" spans="1:26" s="153" customFormat="1">
      <c r="A32" s="504"/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</row>
    <row r="33" spans="1:14">
      <c r="A33" s="486" t="s">
        <v>162</v>
      </c>
      <c r="B33" s="486"/>
      <c r="C33" s="486"/>
      <c r="D33" s="486"/>
      <c r="E33" s="486"/>
      <c r="F33" s="486"/>
      <c r="G33" s="487"/>
      <c r="H33" s="494">
        <f>+'Fdo Spese_ Spese'!D50</f>
        <v>11865</v>
      </c>
      <c r="I33" s="494"/>
      <c r="J33" s="443" t="s">
        <v>118</v>
      </c>
      <c r="K33" s="443"/>
      <c r="M33" s="496">
        <f>+'Fdo Spese_ Spese'!J12</f>
        <v>0</v>
      </c>
      <c r="N33" s="497"/>
    </row>
    <row r="34" spans="1:14">
      <c r="A34" s="486" t="s">
        <v>161</v>
      </c>
      <c r="B34" s="486"/>
      <c r="C34" s="486"/>
      <c r="D34" s="486"/>
      <c r="E34" s="486"/>
      <c r="F34" s="486"/>
      <c r="G34" s="487"/>
      <c r="H34" s="494">
        <f>+'Fdo Spese_ Spese'!E50</f>
        <v>12000</v>
      </c>
      <c r="I34" s="494"/>
    </row>
    <row r="35" spans="1:14">
      <c r="A35" s="486" t="s">
        <v>261</v>
      </c>
      <c r="B35" s="486"/>
      <c r="C35" s="486"/>
      <c r="D35" s="486"/>
      <c r="E35" s="486"/>
      <c r="F35" s="486"/>
      <c r="G35" s="487"/>
      <c r="H35" s="507">
        <f>+H34-H33</f>
        <v>135</v>
      </c>
      <c r="I35" s="507"/>
      <c r="J35" s="455" t="s">
        <v>160</v>
      </c>
      <c r="K35" s="456"/>
      <c r="L35" s="442" t="s">
        <v>126</v>
      </c>
      <c r="M35" s="442"/>
    </row>
    <row r="36" spans="1:14">
      <c r="J36" s="258" t="s">
        <v>189</v>
      </c>
      <c r="K36" s="259"/>
      <c r="L36" s="259"/>
      <c r="M36" s="259"/>
    </row>
    <row r="37" spans="1:14">
      <c r="A37" s="202" t="s">
        <v>156</v>
      </c>
      <c r="B37" s="202"/>
      <c r="C37" s="202"/>
      <c r="H37" s="470"/>
      <c r="I37" s="470"/>
    </row>
    <row r="38" spans="1:14">
      <c r="A38" s="202" t="s">
        <v>157</v>
      </c>
      <c r="H38" s="470"/>
      <c r="I38" s="470"/>
    </row>
    <row r="39" spans="1:14">
      <c r="A39" s="202" t="s">
        <v>158</v>
      </c>
      <c r="H39" s="505">
        <f>+H37-H38</f>
        <v>0</v>
      </c>
      <c r="I39" s="506"/>
      <c r="L39" s="189"/>
    </row>
    <row r="40" spans="1:14">
      <c r="A40" s="446" t="s">
        <v>275</v>
      </c>
      <c r="B40" s="446"/>
      <c r="C40" s="371">
        <v>0.04</v>
      </c>
      <c r="H40" s="189"/>
      <c r="L40" s="189"/>
    </row>
    <row r="41" spans="1:14">
      <c r="A41" s="446" t="s">
        <v>276</v>
      </c>
      <c r="B41" s="446"/>
      <c r="C41" s="371">
        <v>0.22</v>
      </c>
      <c r="L41" s="189"/>
    </row>
    <row r="45" spans="1:14">
      <c r="A45" s="447" t="s">
        <v>292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8"/>
    </row>
    <row r="47" spans="1:14">
      <c r="A47" s="440" t="s">
        <v>254</v>
      </c>
      <c r="B47" s="441"/>
      <c r="C47" s="336" t="s">
        <v>266</v>
      </c>
    </row>
    <row r="48" spans="1:14">
      <c r="A48" s="365"/>
      <c r="B48" s="365"/>
      <c r="C48" s="336" t="s">
        <v>267</v>
      </c>
    </row>
    <row r="49" spans="1:3">
      <c r="C49" s="336" t="s">
        <v>268</v>
      </c>
    </row>
    <row r="50" spans="1:3">
      <c r="C50" s="336"/>
    </row>
    <row r="52" spans="1:3">
      <c r="A52" s="440" t="s">
        <v>253</v>
      </c>
      <c r="B52" s="441"/>
    </row>
  </sheetData>
  <sheetProtection selectLockedCells="1"/>
  <mergeCells count="128">
    <mergeCell ref="A13:B13"/>
    <mergeCell ref="A12:B12"/>
    <mergeCell ref="C28:D28"/>
    <mergeCell ref="H39:I39"/>
    <mergeCell ref="H35:I35"/>
    <mergeCell ref="H37:I37"/>
    <mergeCell ref="D31:E31"/>
    <mergeCell ref="A33:G33"/>
    <mergeCell ref="D30:E30"/>
    <mergeCell ref="I19:J19"/>
    <mergeCell ref="K30:M30"/>
    <mergeCell ref="H34:I34"/>
    <mergeCell ref="K31:M31"/>
    <mergeCell ref="H33:I33"/>
    <mergeCell ref="J33:K33"/>
    <mergeCell ref="M33:N33"/>
    <mergeCell ref="F31:H31"/>
    <mergeCell ref="A34:G34"/>
    <mergeCell ref="F30:H30"/>
    <mergeCell ref="A32:N32"/>
    <mergeCell ref="C26:D26"/>
    <mergeCell ref="E26:F26"/>
    <mergeCell ref="H38:I38"/>
    <mergeCell ref="A35:G35"/>
    <mergeCell ref="I31:J31"/>
    <mergeCell ref="E23:F23"/>
    <mergeCell ref="G23:H23"/>
    <mergeCell ref="I23:J23"/>
    <mergeCell ref="G24:H24"/>
    <mergeCell ref="I30:J30"/>
    <mergeCell ref="A22:C22"/>
    <mergeCell ref="G18:H18"/>
    <mergeCell ref="G19:H19"/>
    <mergeCell ref="A29:B29"/>
    <mergeCell ref="C25:D25"/>
    <mergeCell ref="E25:F25"/>
    <mergeCell ref="A26:B26"/>
    <mergeCell ref="A24:B24"/>
    <mergeCell ref="E24:F24"/>
    <mergeCell ref="C24:D24"/>
    <mergeCell ref="E18:F18"/>
    <mergeCell ref="I26:J26"/>
    <mergeCell ref="G21:H21"/>
    <mergeCell ref="I21:J21"/>
    <mergeCell ref="I24:J24"/>
    <mergeCell ref="E21:F21"/>
    <mergeCell ref="G25:H25"/>
    <mergeCell ref="I25:J25"/>
    <mergeCell ref="C23:D23"/>
    <mergeCell ref="C4:K4"/>
    <mergeCell ref="C16:D16"/>
    <mergeCell ref="E16:F16"/>
    <mergeCell ref="K15:L15"/>
    <mergeCell ref="K21:L21"/>
    <mergeCell ref="K16:L16"/>
    <mergeCell ref="K19:L19"/>
    <mergeCell ref="K18:L18"/>
    <mergeCell ref="C21:D21"/>
    <mergeCell ref="E15:F15"/>
    <mergeCell ref="K26:L26"/>
    <mergeCell ref="G15:H15"/>
    <mergeCell ref="I20:J20"/>
    <mergeCell ref="A1:B1"/>
    <mergeCell ref="A2:B2"/>
    <mergeCell ref="A3:B3"/>
    <mergeCell ref="A4:B4"/>
    <mergeCell ref="E1:H1"/>
    <mergeCell ref="G20:H20"/>
    <mergeCell ref="C6:K6"/>
    <mergeCell ref="E5:K5"/>
    <mergeCell ref="K20:L20"/>
    <mergeCell ref="C3:K3"/>
    <mergeCell ref="A5:B5"/>
    <mergeCell ref="A6:B6"/>
    <mergeCell ref="G8:J8"/>
    <mergeCell ref="E9:J9"/>
    <mergeCell ref="A8:B8"/>
    <mergeCell ref="E19:F19"/>
    <mergeCell ref="K10:L10"/>
    <mergeCell ref="A10:B11"/>
    <mergeCell ref="A16:B20"/>
    <mergeCell ref="C17:D17"/>
    <mergeCell ref="K23:L23"/>
    <mergeCell ref="A15:B15"/>
    <mergeCell ref="K17:L17"/>
    <mergeCell ref="G16:H16"/>
    <mergeCell ref="E17:F17"/>
    <mergeCell ref="C15:D15"/>
    <mergeCell ref="M26:N27"/>
    <mergeCell ref="C10:D10"/>
    <mergeCell ref="C20:D20"/>
    <mergeCell ref="I17:J17"/>
    <mergeCell ref="I18:J18"/>
    <mergeCell ref="E10:F10"/>
    <mergeCell ref="E11:F11"/>
    <mergeCell ref="G10:H10"/>
    <mergeCell ref="I16:J16"/>
    <mergeCell ref="G26:H26"/>
    <mergeCell ref="K25:L25"/>
    <mergeCell ref="C19:D19"/>
    <mergeCell ref="M7:N9"/>
    <mergeCell ref="I11:J11"/>
    <mergeCell ref="K11:L11"/>
    <mergeCell ref="C11:D11"/>
    <mergeCell ref="K7:L9"/>
    <mergeCell ref="G11:H11"/>
    <mergeCell ref="I10:J10"/>
    <mergeCell ref="K24:L24"/>
    <mergeCell ref="A30:C31"/>
    <mergeCell ref="E7:H7"/>
    <mergeCell ref="A52:B52"/>
    <mergeCell ref="A14:B14"/>
    <mergeCell ref="J35:K35"/>
    <mergeCell ref="A7:C7"/>
    <mergeCell ref="A9:B9"/>
    <mergeCell ref="I15:J15"/>
    <mergeCell ref="E20:F20"/>
    <mergeCell ref="G17:H17"/>
    <mergeCell ref="A47:B47"/>
    <mergeCell ref="L35:M35"/>
    <mergeCell ref="A27:B27"/>
    <mergeCell ref="A28:B28"/>
    <mergeCell ref="A23:B23"/>
    <mergeCell ref="C18:D18"/>
    <mergeCell ref="A40:B40"/>
    <mergeCell ref="A41:B41"/>
    <mergeCell ref="A45:L45"/>
    <mergeCell ref="A21:B21"/>
  </mergeCells>
  <phoneticPr fontId="2" type="noConversion"/>
  <dataValidations xWindow="982" yWindow="411" count="25">
    <dataValidation type="decimal" showInputMessage="1" showErrorMessage="1" error="Il valore deve essere necessariamente numerico" prompt="Inserire l'importo delle spese documentate." sqref="H33:I33 H38:I38">
      <formula1>0</formula1>
      <formula2>100000000</formula2>
    </dataValidation>
    <dataValidation type="decimal" allowBlank="1" showInputMessage="1" showErrorMessage="1" error="Il valore deve essere necessariamente numerico" prompt="Inserire l'importo complessivo dei fondi spese versati dai creditori." sqref="H34:I34 H37:I37">
      <formula1>0</formula1>
      <formula2>1000000000</formula2>
    </dataValidation>
    <dataValidation type="decimal" showInputMessage="1" showErrorMessage="1" error="Il valore deve essere necessariamente numerico" prompt="Inserire l'importo delle spese non documentabili, quali le indennità di viaggio" sqref="M33:N33">
      <formula1>0</formula1>
      <formula2>100000000</formula2>
    </dataValidation>
    <dataValidation type="list" showInputMessage="1" showErrorMessage="1" error="SCEGLI DALL'ELENCO" prompt="Selezionare dall'elenco: &quot;prima&quot; in caso di estinzione/sospensione prima della pubblicità del'avviso di vendita; &quot;dopo&quot; in caso di estinzione/sospensione dopo la pubblicità, ma prima della vendita. " sqref="I7">
      <formula1>TEMPO_ESTINZIONE</formula1>
    </dataValidation>
    <dataValidation type="list" showInputMessage="1" showErrorMessage="1" error="Il titolo deve essere selezionato dall'elenco" prompt="Inserire il titolo del professionista delegato, selezionandolo dall'elenco a discesa" sqref="C5">
      <formula1>TITOLI</formula1>
    </dataValidation>
    <dataValidation type="list" showInputMessage="1" showErrorMessage="1" error="SOLO &quot;si&quot; o &quot;no&quot;." prompt="Selezionare &quot;si&quot; se è stato predisposto avviso di vendita;_x000a_&quot;no&quot; in caso contrario." sqref="C8">
      <formula1>SCELTA_</formula1>
    </dataValidation>
    <dataValidation type="list" allowBlank="1" showInputMessage="1" showErrorMessage="1" sqref="C19 C17:D18 C20:D20 E17:L20">
      <formula1>CUSTODIA_PLURIS</formula1>
    </dataValidation>
    <dataValidation errorStyle="warning" allowBlank="1" showInputMessage="1" showErrorMessage="1" error="SCEGLI DALL'ELENCO" sqref="D8"/>
    <dataValidation type="list" errorStyle="warning" showInputMessage="1" showErrorMessage="1" error="IN CASO DI LOTTI SUPERIORI A 5 INSERIRE NELLA PRESENTE ISTANZA I PRIMI 5 E PREDISPORRE ALTRA ISTANZA PER GLI ALTRI" prompt="Inserisci il numero dei lotti ai quali si riferisce l'incarico._x000a_Se superiore a 5 predisporre istanza separata per quelli eccedenti." sqref="C9">
      <formula1>LOTTI_NUM</formula1>
    </dataValidation>
    <dataValidation type="whole" allowBlank="1" showInputMessage="1" showErrorMessage="1" errorTitle="ERR_NUM" error="Il valore inserito deve essere un numero" promptTitle="INS_FORMAL" prompt="Inserire il numero di cancellazioni eseguite dal delegato in base a ciascun decreto di trasferimento" sqref="C26:L26">
      <formula1>0</formula1>
      <formula2>100</formula2>
    </dataValidation>
    <dataValidation type="date" allowBlank="1" showInputMessage="1" showErrorMessage="1" error="Deve essere inserita una data" prompt="Inserire la data di compilazione (gg/mm/aaaa)" sqref="C1">
      <formula1>40544</formula1>
      <formula2>73415</formula2>
    </dataValidation>
    <dataValidation type="date" allowBlank="1" showInputMessage="1" showErrorMessage="1" error="Deve essere inserita una data" prompt="Inserire la data della prima delega o della nomina a custode, se precedente (gg/mm/aaaa)" sqref="I1">
      <formula1>36526</formula1>
      <formula2>73415</formula2>
    </dataValidation>
    <dataValidation allowBlank="1" showInputMessage="1" showErrorMessage="1" prompt="Inserire nome o denominazione del debitore o dei debitori esecutato/i (separare con virgole)" sqref="C4:I4"/>
    <dataValidation type="list" showInputMessage="1" showErrorMessage="1" error="scegli &quot;si&quot; o &quot;no&quot; dall'elenco" prompt="Selezionare dall'elenco la voce appropriata:_x000a_&quot;si&quot; se la procedura si è estinta o è stata sospesa prima del completamento dell'incarico;_x000a_&quot;no&quot; se l'incarico è stato completamente espletato." sqref="D7">
      <formula1>SCELTA_</formula1>
    </dataValidation>
    <dataValidation type="decimal" showInputMessage="1" showErrorMessage="1" error="Il valore deve essere necessariamente numerico" prompt="Inserire il prezzo di vendita o di aggiudicazione o, in mancanza, l'ultimo prezzo base o, in mancanza di avvisi di vendita, il valore di stima del lotto. " sqref="C11:L11">
      <formula1>0</formula1>
      <formula2>100000000000000000</formula2>
    </dataValidation>
    <dataValidation type="list" errorStyle="warning" showInputMessage="1" showErrorMessage="1" error="Occorre selezionare una voce dall'elenco" prompt="Indicare lo stato del lotto selezionando la voce appropriata dall'elenco. _x000a_Ripetere per tutti i lotti._x000a_" sqref="C15:L15">
      <formula1>STATUS_IMM</formula1>
    </dataValidation>
    <dataValidation type="list" errorStyle="warning" showInputMessage="1" showErrorMessage="1" error="Occorre selezionare una voce dall'elenco" prompt="Indicare le eventuali attività di cui all'art. 3 DM 80/09 svolte in relazione al singolo lotto, selezionando dall'elenco. In caso di plurime attività aggiuntive relative al medesimo lotto utilizzare nello stesso modo i campi sottostanti" sqref="C16:L16">
      <formula1>CUSTODIA_PLURIS</formula1>
    </dataValidation>
    <dataValidation type="decimal" showInputMessage="1" showErrorMessage="1" error="Il valore deve essere necessariamente numerico" prompt="Inserire l'ammontare dei canoni eventualmente riscossi in relazione al singolo lotto" sqref="C23:L23">
      <formula1>0</formula1>
      <formula2>100000000000</formula2>
    </dataValidation>
    <dataValidation type="decimal" allowBlank="1" showInputMessage="1" showErrorMessage="1" error="Il valore deve essere necessariamente numerico" prompt="Inserire il prezzo complessivo dei beni trasferiti con il singolo decreto" sqref="C25:L25">
      <formula1>0</formula1>
      <formula2>100000000000</formula2>
    </dataValidation>
    <dataValidation type="decimal" allowBlank="1" showInputMessage="1" showErrorMessage="1" error="Il valore deve essere necessariamente numerico" prompt="Inserire l'importo dell'eventuale debito assunto dall'aggiudicatario o dall'assegnatario, previa autorizzazione del delegato." sqref="C28:D28">
      <formula1>0</formula1>
      <formula2>100000000000</formula2>
    </dataValidation>
    <dataValidation type="whole" allowBlank="1" showInputMessage="1" showErrorMessage="1" error="Il valore deve essere necessariamente numerico" prompt="Inserire il numero delle sottoscrizioni di dichiarazioni di nomina ricevute o autenticate dal delegato." sqref="C29">
      <formula1>0</formula1>
      <formula2>1000</formula2>
    </dataValidation>
    <dataValidation type="whole" showInputMessage="1" showErrorMessage="1" error="Il valore deve essere necessariamente numerico" prompt="Inserire il numero dei verbali d'incanto, gara, diserzione, assegnazione redatti dal deleg. Possono essere ricompresi anche il verbale di primo accesso e quelli di versamento saldo prezzo e di approvazione del progetto di distribuzione." sqref="C27">
      <formula1>0</formula1>
      <formula2>10000000</formula2>
    </dataValidation>
    <dataValidation type="decimal" showInputMessage="1" showErrorMessage="1" error="Il valore deve essere necessariamente numerico" prompt="Inserire l'importo delle eventuali somme acquisite alla procedura a seguito di conversione ammessa e non eseguita." sqref="D31:E31">
      <formula1>0</formula1>
      <formula2>100000000000</formula2>
    </dataValidation>
    <dataValidation type="decimal" showInputMessage="1" showErrorMessage="1" error="Il valore deve essere necessariamente numerico" prompt="Inserire l'importo di eventuali somme (cauzioni) acquisite alla procedura a seguito di decadenza di aggiudicatari." sqref="F31:H31">
      <formula1>0</formula1>
      <formula2>100000000000</formula2>
    </dataValidation>
    <dataValidation type="list" allowBlank="1" showInputMessage="1" showErrorMessage="1" sqref="L35:M35">
      <formula1>MIS_LIQUIDAZ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D16" sqref="D16"/>
    </sheetView>
  </sheetViews>
  <sheetFormatPr defaultRowHeight="12.75"/>
  <cols>
    <col min="1" max="1" width="18.5703125" customWidth="1"/>
    <col min="10" max="10" width="27.7109375" customWidth="1"/>
    <col min="11" max="11" width="38.42578125" customWidth="1"/>
    <col min="12" max="12" width="27.28515625" customWidth="1"/>
  </cols>
  <sheetData>
    <row r="1" spans="1:12" ht="15">
      <c r="A1" s="102"/>
      <c r="H1" s="102"/>
      <c r="K1" s="110"/>
      <c r="L1" s="110"/>
    </row>
    <row r="2" spans="1:12" ht="15">
      <c r="A2" s="103" t="s">
        <v>79</v>
      </c>
      <c r="B2" s="102" t="s">
        <v>83</v>
      </c>
      <c r="C2" s="102" t="s">
        <v>85</v>
      </c>
      <c r="D2" s="102" t="s">
        <v>96</v>
      </c>
      <c r="E2" s="102"/>
      <c r="F2" s="102"/>
      <c r="G2" s="102" t="s">
        <v>94</v>
      </c>
      <c r="H2" s="102"/>
      <c r="K2" s="110"/>
      <c r="L2" s="110"/>
    </row>
    <row r="3" spans="1:12" ht="15">
      <c r="A3" s="103" t="s">
        <v>80</v>
      </c>
      <c r="B3" s="102" t="s">
        <v>84</v>
      </c>
      <c r="C3" s="102" t="s">
        <v>86</v>
      </c>
      <c r="D3" s="102" t="s">
        <v>91</v>
      </c>
      <c r="E3" s="102"/>
      <c r="F3" s="102"/>
      <c r="G3" s="102" t="s">
        <v>136</v>
      </c>
      <c r="H3" s="102"/>
      <c r="K3" s="110"/>
    </row>
    <row r="4" spans="1:12" ht="15">
      <c r="A4" s="103" t="s">
        <v>71</v>
      </c>
      <c r="D4" s="102" t="s">
        <v>97</v>
      </c>
      <c r="E4" s="102"/>
      <c r="F4" s="102"/>
      <c r="G4" s="102" t="s">
        <v>137</v>
      </c>
      <c r="K4" s="110"/>
    </row>
    <row r="5" spans="1:12" ht="15">
      <c r="A5" s="103"/>
      <c r="D5" s="102" t="s">
        <v>92</v>
      </c>
      <c r="E5" s="102"/>
      <c r="F5" s="102"/>
      <c r="K5" s="110"/>
      <c r="L5" s="110"/>
    </row>
    <row r="6" spans="1:12" ht="15">
      <c r="D6" s="102" t="s">
        <v>93</v>
      </c>
      <c r="E6" s="102"/>
      <c r="F6" s="102"/>
      <c r="K6" s="110"/>
    </row>
    <row r="7" spans="1:12" ht="15">
      <c r="A7" s="103"/>
      <c r="K7" s="110"/>
    </row>
    <row r="8" spans="1:12" ht="15">
      <c r="A8" s="103"/>
      <c r="B8" s="2">
        <v>1</v>
      </c>
      <c r="K8" s="110"/>
    </row>
    <row r="9" spans="1:12" ht="15">
      <c r="A9" s="103"/>
      <c r="B9" s="2">
        <v>2</v>
      </c>
      <c r="K9" s="110"/>
    </row>
    <row r="10" spans="1:12" ht="15">
      <c r="A10" s="103"/>
      <c r="B10" s="2">
        <v>3</v>
      </c>
      <c r="K10" s="110"/>
    </row>
    <row r="11" spans="1:12" ht="15">
      <c r="A11" s="103" t="s">
        <v>126</v>
      </c>
      <c r="B11" s="2">
        <v>4</v>
      </c>
      <c r="F11" s="103" t="s">
        <v>122</v>
      </c>
      <c r="K11" s="110"/>
    </row>
    <row r="12" spans="1:12" ht="15">
      <c r="B12" s="2">
        <v>5</v>
      </c>
      <c r="F12" s="103" t="s">
        <v>123</v>
      </c>
      <c r="K12" s="110"/>
      <c r="L12" s="110"/>
    </row>
    <row r="13" spans="1:12" ht="15">
      <c r="F13" s="103" t="s">
        <v>124</v>
      </c>
      <c r="K13" s="110"/>
      <c r="L13" s="110"/>
    </row>
    <row r="14" spans="1:12" ht="15">
      <c r="F14" s="103" t="s">
        <v>125</v>
      </c>
      <c r="K14" s="110"/>
    </row>
    <row r="15" spans="1:12" ht="15">
      <c r="K15" s="110"/>
      <c r="L15" s="110"/>
    </row>
    <row r="16" spans="1:12" ht="15">
      <c r="K16" s="110"/>
    </row>
    <row r="17" spans="1:12" ht="15">
      <c r="K17" s="110"/>
    </row>
    <row r="18" spans="1:12" ht="15">
      <c r="K18" s="110"/>
    </row>
    <row r="19" spans="1:12" ht="15">
      <c r="A19" s="558" t="s">
        <v>128</v>
      </c>
      <c r="B19" s="558"/>
      <c r="C19" s="558"/>
      <c r="D19" s="558"/>
      <c r="E19" s="558"/>
      <c r="F19" s="558"/>
      <c r="G19" s="558"/>
      <c r="H19" s="558"/>
      <c r="I19" s="558"/>
      <c r="K19" s="110"/>
    </row>
    <row r="20" spans="1:12" ht="15">
      <c r="A20" s="558" t="s">
        <v>129</v>
      </c>
      <c r="B20" s="558"/>
      <c r="C20" s="558"/>
      <c r="D20" s="558"/>
      <c r="E20" s="558"/>
      <c r="F20" s="558"/>
      <c r="G20" s="558"/>
      <c r="H20" s="558"/>
      <c r="I20" s="558"/>
      <c r="K20" s="110"/>
    </row>
    <row r="21" spans="1:12" ht="15">
      <c r="A21" s="558" t="s">
        <v>130</v>
      </c>
      <c r="B21" s="558"/>
      <c r="C21" s="558"/>
      <c r="D21" s="558"/>
      <c r="E21" s="558"/>
      <c r="F21" s="558"/>
      <c r="G21" s="558"/>
      <c r="H21" s="558"/>
      <c r="I21" s="558"/>
      <c r="K21" s="110"/>
    </row>
    <row r="22" spans="1:12" ht="15">
      <c r="K22" s="110"/>
    </row>
    <row r="23" spans="1:12" ht="15">
      <c r="K23" s="110"/>
      <c r="L23" s="110"/>
    </row>
    <row r="24" spans="1:12" ht="15">
      <c r="K24" s="110"/>
    </row>
    <row r="25" spans="1:12" ht="15">
      <c r="K25" s="110"/>
    </row>
    <row r="26" spans="1:12" ht="15">
      <c r="K26" s="110"/>
    </row>
    <row r="27" spans="1:12" ht="15">
      <c r="K27" s="110"/>
    </row>
    <row r="28" spans="1:12" ht="15">
      <c r="K28" s="110"/>
    </row>
    <row r="29" spans="1:12" ht="15">
      <c r="K29" s="110"/>
    </row>
    <row r="30" spans="1:12" ht="15">
      <c r="K30" s="110"/>
      <c r="L30" s="110"/>
    </row>
    <row r="31" spans="1:12" ht="15">
      <c r="K31" s="110"/>
      <c r="L31" s="110"/>
    </row>
    <row r="32" spans="1:12" ht="15">
      <c r="K32" s="110"/>
    </row>
    <row r="33" spans="11:12" ht="15">
      <c r="K33" s="110"/>
    </row>
    <row r="34" spans="11:12" ht="15">
      <c r="K34" s="110"/>
    </row>
    <row r="35" spans="11:12" ht="15">
      <c r="K35" s="110"/>
    </row>
    <row r="36" spans="11:12" ht="15">
      <c r="K36" s="110"/>
    </row>
    <row r="37" spans="11:12" ht="15">
      <c r="K37" s="110"/>
    </row>
    <row r="38" spans="11:12" ht="15">
      <c r="K38" s="110"/>
    </row>
    <row r="39" spans="11:12" ht="15">
      <c r="K39" s="110"/>
      <c r="L39" s="110"/>
    </row>
    <row r="40" spans="11:12" ht="15">
      <c r="K40" s="110"/>
      <c r="L40" s="110"/>
    </row>
    <row r="41" spans="11:12" ht="15">
      <c r="K41" s="110"/>
    </row>
    <row r="42" spans="11:12" ht="15">
      <c r="K42" s="110"/>
    </row>
    <row r="43" spans="11:12" ht="15">
      <c r="K43" s="110"/>
    </row>
    <row r="44" spans="11:12" ht="15">
      <c r="K44" s="110"/>
    </row>
    <row r="45" spans="11:12" ht="15">
      <c r="K45" s="110"/>
    </row>
    <row r="46" spans="11:12" ht="15">
      <c r="K46" s="110"/>
    </row>
    <row r="47" spans="11:12" ht="15">
      <c r="K47" s="110"/>
    </row>
    <row r="48" spans="11:12" ht="15">
      <c r="K48" s="110"/>
    </row>
    <row r="49" spans="11:12" ht="15">
      <c r="K49" s="110"/>
    </row>
    <row r="50" spans="11:12" ht="15">
      <c r="K50" s="110"/>
    </row>
    <row r="51" spans="11:12" ht="15">
      <c r="K51" s="110"/>
    </row>
    <row r="52" spans="11:12" ht="15">
      <c r="K52" s="110"/>
    </row>
    <row r="53" spans="11:12" ht="15">
      <c r="K53" s="110"/>
    </row>
    <row r="54" spans="11:12" ht="15">
      <c r="K54" s="110"/>
      <c r="L54" s="110"/>
    </row>
    <row r="55" spans="11:12" ht="15">
      <c r="K55" s="110"/>
      <c r="L55" s="110"/>
    </row>
    <row r="56" spans="11:12" ht="15">
      <c r="K56" s="110"/>
      <c r="L56" s="110"/>
    </row>
    <row r="57" spans="11:12" ht="15">
      <c r="K57" s="110"/>
      <c r="L57" s="110"/>
    </row>
    <row r="58" spans="11:12" ht="15">
      <c r="K58" s="110"/>
    </row>
    <row r="59" spans="11:12" ht="15">
      <c r="K59" s="110"/>
    </row>
    <row r="60" spans="11:12" ht="15">
      <c r="K60" s="110"/>
    </row>
    <row r="61" spans="11:12" ht="15">
      <c r="K61" s="110"/>
    </row>
    <row r="62" spans="11:12" ht="15">
      <c r="K62" s="110"/>
    </row>
    <row r="63" spans="11:12" ht="15">
      <c r="K63" s="110"/>
    </row>
    <row r="64" spans="11:12" ht="15">
      <c r="K64" s="110"/>
    </row>
    <row r="65" spans="11:12" ht="15">
      <c r="K65" s="110"/>
    </row>
    <row r="66" spans="11:12" ht="15">
      <c r="K66" s="110"/>
    </row>
    <row r="67" spans="11:12" ht="15">
      <c r="K67" s="110"/>
    </row>
    <row r="68" spans="11:12" ht="15">
      <c r="K68" s="110"/>
    </row>
    <row r="69" spans="11:12" ht="15">
      <c r="K69" s="110"/>
    </row>
    <row r="70" spans="11:12" ht="15">
      <c r="K70" s="110"/>
    </row>
    <row r="71" spans="11:12" ht="15">
      <c r="K71" s="110"/>
      <c r="L71" s="110"/>
    </row>
    <row r="72" spans="11:12" ht="15">
      <c r="K72" s="110"/>
      <c r="L72" s="110"/>
    </row>
    <row r="73" spans="11:12" ht="15">
      <c r="K73" s="110"/>
      <c r="L73" s="110"/>
    </row>
    <row r="74" spans="11:12" ht="15">
      <c r="K74" s="110"/>
    </row>
    <row r="75" spans="11:12" ht="15">
      <c r="K75" s="110"/>
    </row>
    <row r="76" spans="11:12" ht="15">
      <c r="K76" s="110"/>
    </row>
    <row r="77" spans="11:12" ht="15">
      <c r="K77" s="110"/>
    </row>
    <row r="78" spans="11:12" ht="15">
      <c r="K78" s="110"/>
    </row>
    <row r="79" spans="11:12" ht="15">
      <c r="K79" s="110"/>
    </row>
    <row r="80" spans="11:12" ht="15">
      <c r="K80" s="110"/>
    </row>
    <row r="81" spans="11:12" ht="15">
      <c r="K81" s="110"/>
    </row>
    <row r="82" spans="11:12" ht="15">
      <c r="K82" s="110"/>
    </row>
    <row r="83" spans="11:12" ht="15">
      <c r="K83" s="110"/>
    </row>
    <row r="84" spans="11:12" ht="15">
      <c r="K84" s="110"/>
    </row>
    <row r="85" spans="11:12" ht="15">
      <c r="K85" s="110"/>
      <c r="L85" s="110"/>
    </row>
    <row r="86" spans="11:12" ht="15">
      <c r="K86" s="110"/>
    </row>
    <row r="87" spans="11:12" ht="15">
      <c r="K87" s="110"/>
    </row>
    <row r="88" spans="11:12" ht="15">
      <c r="K88" s="110"/>
    </row>
    <row r="89" spans="11:12" ht="15">
      <c r="K89" s="110"/>
    </row>
    <row r="90" spans="11:12" ht="15">
      <c r="K90" s="110"/>
    </row>
    <row r="91" spans="11:12" ht="15">
      <c r="K91" s="110"/>
    </row>
    <row r="92" spans="11:12" ht="15">
      <c r="K92" s="110"/>
    </row>
    <row r="93" spans="11:12" ht="15">
      <c r="K93" s="110"/>
      <c r="L93" s="110"/>
    </row>
    <row r="94" spans="11:12" ht="15">
      <c r="K94" s="110"/>
    </row>
    <row r="95" spans="11:12" ht="15">
      <c r="K95" s="110"/>
    </row>
    <row r="96" spans="11:12" ht="15">
      <c r="K96" s="110"/>
      <c r="L96" s="110"/>
    </row>
    <row r="97" spans="11:12" ht="15">
      <c r="K97" s="110"/>
    </row>
    <row r="98" spans="11:12" ht="15">
      <c r="K98" s="110"/>
      <c r="L98" s="110"/>
    </row>
    <row r="99" spans="11:12" ht="15">
      <c r="K99" s="110"/>
    </row>
    <row r="100" spans="11:12" ht="15">
      <c r="K100" s="110"/>
      <c r="L100" s="110"/>
    </row>
    <row r="101" spans="11:12" ht="15">
      <c r="K101" s="110"/>
      <c r="L101" s="110"/>
    </row>
    <row r="102" spans="11:12" ht="15">
      <c r="K102" s="110"/>
    </row>
    <row r="103" spans="11:12" ht="15">
      <c r="K103" s="110"/>
    </row>
    <row r="104" spans="11:12" ht="15">
      <c r="K104" s="110"/>
    </row>
    <row r="105" spans="11:12" ht="15">
      <c r="K105" s="110"/>
      <c r="L105" s="110"/>
    </row>
    <row r="106" spans="11:12" ht="15">
      <c r="K106" s="110"/>
    </row>
    <row r="107" spans="11:12" ht="15">
      <c r="K107" s="110"/>
    </row>
    <row r="108" spans="11:12" ht="15">
      <c r="K108" s="110"/>
    </row>
    <row r="109" spans="11:12" ht="15">
      <c r="K109" s="110"/>
    </row>
    <row r="110" spans="11:12" ht="15">
      <c r="K110" s="110"/>
      <c r="L110" s="110"/>
    </row>
    <row r="111" spans="11:12" ht="15">
      <c r="K111" s="110"/>
    </row>
    <row r="112" spans="11:12" ht="15">
      <c r="K112" s="110"/>
      <c r="L112" s="110"/>
    </row>
    <row r="113" spans="11:12" ht="15">
      <c r="K113" s="110"/>
      <c r="L113" s="110"/>
    </row>
    <row r="114" spans="11:12" ht="15">
      <c r="K114" s="110"/>
      <c r="L114" s="110"/>
    </row>
    <row r="115" spans="11:12" ht="15">
      <c r="K115" s="110"/>
      <c r="L115" s="110"/>
    </row>
    <row r="116" spans="11:12" ht="15">
      <c r="K116" s="110"/>
      <c r="L116" s="110"/>
    </row>
    <row r="117" spans="11:12" ht="15">
      <c r="K117" s="110"/>
      <c r="L117" s="110"/>
    </row>
    <row r="118" spans="11:12" ht="15">
      <c r="K118" s="110"/>
      <c r="L118" s="110"/>
    </row>
    <row r="119" spans="11:12" ht="15">
      <c r="K119" s="110"/>
      <c r="L119" s="110"/>
    </row>
    <row r="120" spans="11:12" ht="15">
      <c r="K120" s="110"/>
      <c r="L120" s="110"/>
    </row>
    <row r="121" spans="11:12" ht="15">
      <c r="K121" s="110"/>
      <c r="L121" s="110"/>
    </row>
    <row r="122" spans="11:12" ht="15">
      <c r="K122" s="110"/>
      <c r="L122" s="110"/>
    </row>
    <row r="123" spans="11:12" ht="15">
      <c r="K123" s="110"/>
      <c r="L123" s="110"/>
    </row>
    <row r="124" spans="11:12" ht="15">
      <c r="K124" s="110"/>
      <c r="L124" s="110"/>
    </row>
    <row r="125" spans="11:12" ht="15">
      <c r="K125" s="110"/>
      <c r="L125" s="110"/>
    </row>
    <row r="126" spans="11:12" ht="15">
      <c r="K126" s="110"/>
      <c r="L126" s="110"/>
    </row>
    <row r="127" spans="11:12" ht="15">
      <c r="K127" s="110"/>
      <c r="L127" s="110"/>
    </row>
    <row r="128" spans="11:12" ht="15">
      <c r="K128" s="110"/>
      <c r="L128" s="110"/>
    </row>
    <row r="129" spans="11:12" ht="15">
      <c r="K129" s="110"/>
      <c r="L129" s="110"/>
    </row>
    <row r="130" spans="11:12" ht="15">
      <c r="K130" s="110"/>
      <c r="L130" s="110"/>
    </row>
    <row r="131" spans="11:12" ht="15">
      <c r="K131" s="110"/>
      <c r="L131" s="110"/>
    </row>
    <row r="132" spans="11:12" ht="15">
      <c r="K132" s="110"/>
      <c r="L132" s="110"/>
    </row>
    <row r="133" spans="11:12" ht="15">
      <c r="K133" s="110"/>
      <c r="L133" s="110"/>
    </row>
    <row r="134" spans="11:12" ht="15">
      <c r="K134" s="110"/>
      <c r="L134" s="110"/>
    </row>
    <row r="135" spans="11:12" ht="15">
      <c r="K135" s="110"/>
      <c r="L135" s="110"/>
    </row>
    <row r="136" spans="11:12" ht="15">
      <c r="K136" s="110"/>
      <c r="L136" s="110"/>
    </row>
    <row r="137" spans="11:12" ht="15">
      <c r="K137" s="110"/>
      <c r="L137" s="110"/>
    </row>
    <row r="138" spans="11:12" ht="15">
      <c r="K138" s="110"/>
      <c r="L138" s="110"/>
    </row>
    <row r="139" spans="11:12" ht="15">
      <c r="K139" s="110"/>
      <c r="L139" s="110"/>
    </row>
    <row r="140" spans="11:12" ht="15">
      <c r="K140" s="110"/>
      <c r="L140" s="110"/>
    </row>
    <row r="141" spans="11:12" ht="15">
      <c r="K141" s="110"/>
    </row>
  </sheetData>
  <sheetProtection password="C71E" sheet="1" selectLockedCells="1"/>
  <mergeCells count="3">
    <mergeCell ref="A21:I21"/>
    <mergeCell ref="A19:I19"/>
    <mergeCell ref="A20:I20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D22" sqref="D22"/>
    </sheetView>
  </sheetViews>
  <sheetFormatPr defaultRowHeight="12.75"/>
  <cols>
    <col min="1" max="1" width="7.140625" customWidth="1"/>
    <col min="2" max="2" width="11.5703125" style="2" customWidth="1"/>
    <col min="3" max="3" width="39.42578125" customWidth="1"/>
    <col min="4" max="4" width="9.140625" style="1"/>
    <col min="5" max="5" width="11.5703125" style="1" customWidth="1"/>
    <col min="6" max="6" width="9.28515625" style="1" bestFit="1" customWidth="1"/>
    <col min="7" max="7" width="9.140625" style="1"/>
  </cols>
  <sheetData>
    <row r="1" spans="1:8" ht="18">
      <c r="A1" s="663" t="s">
        <v>16</v>
      </c>
      <c r="B1" s="663"/>
      <c r="C1" s="663"/>
      <c r="D1" s="663"/>
      <c r="E1" s="663"/>
      <c r="F1" s="663"/>
      <c r="G1" s="663"/>
      <c r="H1" s="663"/>
    </row>
    <row r="3" spans="1:8" ht="13.5" thickBot="1"/>
    <row r="4" spans="1:8" ht="21.75" customHeight="1" thickTop="1" thickBot="1">
      <c r="A4" s="664" t="s">
        <v>17</v>
      </c>
      <c r="B4" s="508" t="s">
        <v>32</v>
      </c>
      <c r="C4" s="667"/>
      <c r="D4" s="667"/>
      <c r="E4" s="667" t="str">
        <f>INSERIMENTO_DATI!$C$2</f>
        <v>37/2011</v>
      </c>
      <c r="F4" s="668"/>
    </row>
    <row r="5" spans="1:8" ht="14.25" thickTop="1" thickBot="1">
      <c r="A5" s="665"/>
      <c r="B5" s="33" t="s">
        <v>18</v>
      </c>
      <c r="C5" s="34" t="s">
        <v>19</v>
      </c>
      <c r="D5" s="35" t="s">
        <v>20</v>
      </c>
      <c r="E5" s="35" t="s">
        <v>21</v>
      </c>
      <c r="F5" s="35" t="s">
        <v>22</v>
      </c>
    </row>
    <row r="6" spans="1:8" ht="14.25" thickTop="1" thickBot="1">
      <c r="A6" s="665"/>
      <c r="B6" s="36">
        <v>39976</v>
      </c>
      <c r="C6" s="37" t="s">
        <v>23</v>
      </c>
      <c r="D6" s="38"/>
      <c r="E6" s="38">
        <v>1000</v>
      </c>
      <c r="F6" s="38">
        <f>+E6-D6</f>
        <v>1000</v>
      </c>
    </row>
    <row r="7" spans="1:8" ht="14.25" thickTop="1" thickBot="1">
      <c r="A7" s="665"/>
      <c r="B7" s="36">
        <v>39976</v>
      </c>
      <c r="C7" s="37" t="s">
        <v>24</v>
      </c>
      <c r="D7" s="38">
        <f>3.2*2</f>
        <v>6.4</v>
      </c>
      <c r="E7" s="38"/>
      <c r="F7" s="38">
        <f>+F6+E7-D7</f>
        <v>993.6</v>
      </c>
    </row>
    <row r="8" spans="1:8" ht="14.25" thickTop="1" thickBot="1">
      <c r="A8" s="665"/>
      <c r="B8" s="36">
        <v>39976</v>
      </c>
      <c r="C8" s="37" t="s">
        <v>25</v>
      </c>
      <c r="D8" s="38">
        <v>4.5</v>
      </c>
      <c r="E8" s="38"/>
      <c r="F8" s="38">
        <f t="shared" ref="F8:F21" si="0">+F7+E8-D8</f>
        <v>989.1</v>
      </c>
    </row>
    <row r="9" spans="1:8" ht="14.25" thickTop="1" thickBot="1">
      <c r="A9" s="665"/>
      <c r="B9" s="36">
        <v>40004</v>
      </c>
      <c r="C9" s="37" t="s">
        <v>26</v>
      </c>
      <c r="D9" s="38">
        <v>48</v>
      </c>
      <c r="E9" s="38"/>
      <c r="F9" s="38">
        <f t="shared" si="0"/>
        <v>941.1</v>
      </c>
    </row>
    <row r="10" spans="1:8" ht="14.25" thickTop="1" thickBot="1">
      <c r="A10" s="665"/>
      <c r="B10" s="36">
        <v>40006</v>
      </c>
      <c r="C10" s="37" t="s">
        <v>27</v>
      </c>
      <c r="D10" s="38">
        <v>96</v>
      </c>
      <c r="E10" s="38"/>
      <c r="F10" s="38">
        <f t="shared" si="0"/>
        <v>845.1</v>
      </c>
    </row>
    <row r="11" spans="1:8" ht="14.25" thickTop="1" thickBot="1">
      <c r="A11" s="665"/>
      <c r="B11" s="36">
        <v>40009</v>
      </c>
      <c r="C11" s="37" t="s">
        <v>28</v>
      </c>
      <c r="D11" s="38">
        <v>366.19</v>
      </c>
      <c r="E11" s="38"/>
      <c r="F11" s="38">
        <f t="shared" si="0"/>
        <v>478.91</v>
      </c>
    </row>
    <row r="12" spans="1:8" ht="14.25" thickTop="1" thickBot="1">
      <c r="A12" s="665"/>
      <c r="B12" s="36">
        <v>40065</v>
      </c>
      <c r="C12" s="37" t="s">
        <v>29</v>
      </c>
      <c r="D12" s="38">
        <v>36</v>
      </c>
      <c r="E12" s="38"/>
      <c r="F12" s="38">
        <f t="shared" si="0"/>
        <v>442.91</v>
      </c>
    </row>
    <row r="13" spans="1:8" ht="14.25" customHeight="1" thickTop="1" thickBot="1">
      <c r="A13" s="665"/>
      <c r="B13" s="36">
        <v>40082</v>
      </c>
      <c r="C13" s="37" t="s">
        <v>30</v>
      </c>
      <c r="D13" s="38">
        <v>104.4</v>
      </c>
      <c r="E13" s="38"/>
      <c r="F13" s="38">
        <f t="shared" si="0"/>
        <v>338.51</v>
      </c>
    </row>
    <row r="14" spans="1:8" ht="14.25" thickTop="1" thickBot="1">
      <c r="A14" s="665"/>
      <c r="B14" s="36"/>
      <c r="C14" s="37"/>
      <c r="D14" s="38"/>
      <c r="E14" s="38"/>
      <c r="F14" s="38">
        <f t="shared" si="0"/>
        <v>338.51</v>
      </c>
    </row>
    <row r="15" spans="1:8" ht="14.25" thickTop="1" thickBot="1">
      <c r="A15" s="665"/>
      <c r="B15" s="36"/>
      <c r="C15" s="37"/>
      <c r="D15" s="38"/>
      <c r="E15" s="38"/>
      <c r="F15" s="38">
        <f t="shared" si="0"/>
        <v>338.51</v>
      </c>
    </row>
    <row r="16" spans="1:8" ht="14.25" thickTop="1" thickBot="1">
      <c r="A16" s="665"/>
      <c r="B16" s="36"/>
      <c r="C16" s="37"/>
      <c r="D16" s="38"/>
      <c r="E16" s="38"/>
      <c r="F16" s="38">
        <f t="shared" si="0"/>
        <v>338.51</v>
      </c>
    </row>
    <row r="17" spans="1:6" ht="14.25" thickTop="1" thickBot="1">
      <c r="A17" s="665"/>
      <c r="B17" s="36"/>
      <c r="C17" s="37"/>
      <c r="D17" s="38"/>
      <c r="E17" s="38"/>
      <c r="F17" s="38">
        <f t="shared" si="0"/>
        <v>338.51</v>
      </c>
    </row>
    <row r="18" spans="1:6" ht="14.25" thickTop="1" thickBot="1">
      <c r="A18" s="665"/>
      <c r="B18" s="36"/>
      <c r="C18" s="37"/>
      <c r="D18" s="38"/>
      <c r="E18" s="38"/>
      <c r="F18" s="38">
        <f t="shared" si="0"/>
        <v>338.51</v>
      </c>
    </row>
    <row r="19" spans="1:6" ht="14.25" thickTop="1" thickBot="1">
      <c r="A19" s="665"/>
      <c r="B19" s="36"/>
      <c r="C19" s="37"/>
      <c r="D19" s="38"/>
      <c r="E19" s="38"/>
      <c r="F19" s="38">
        <f t="shared" si="0"/>
        <v>338.51</v>
      </c>
    </row>
    <row r="20" spans="1:6" ht="14.25" thickTop="1" thickBot="1">
      <c r="A20" s="665"/>
      <c r="B20" s="36"/>
      <c r="C20" s="37"/>
      <c r="D20" s="38"/>
      <c r="E20" s="38"/>
      <c r="F20" s="38">
        <f t="shared" si="0"/>
        <v>338.51</v>
      </c>
    </row>
    <row r="21" spans="1:6" ht="14.25" thickTop="1" thickBot="1">
      <c r="A21" s="665"/>
      <c r="B21" s="36"/>
      <c r="C21" s="37"/>
      <c r="D21" s="38"/>
      <c r="E21" s="38"/>
      <c r="F21" s="38">
        <f t="shared" si="0"/>
        <v>338.51</v>
      </c>
    </row>
    <row r="22" spans="1:6" ht="19.5" thickTop="1" thickBot="1">
      <c r="A22" s="666"/>
      <c r="B22" s="669" t="s">
        <v>31</v>
      </c>
      <c r="C22" s="670"/>
      <c r="D22" s="38">
        <f>-SUM(D7:D21)</f>
        <v>-661.49</v>
      </c>
      <c r="E22" s="39">
        <f>SUM(E6:E21)</f>
        <v>1000</v>
      </c>
      <c r="F22" s="3">
        <f>+E22+D22</f>
        <v>338.51</v>
      </c>
    </row>
    <row r="23" spans="1:6" ht="13.5" thickTop="1"/>
  </sheetData>
  <sheetProtection sheet="1" objects="1" scenarios="1" selectLockedCells="1"/>
  <mergeCells count="5">
    <mergeCell ref="A1:H1"/>
    <mergeCell ref="A4:A22"/>
    <mergeCell ref="B4:D4"/>
    <mergeCell ref="E4:F4"/>
    <mergeCell ref="B22:C22"/>
  </mergeCells>
  <phoneticPr fontId="2" type="noConversion"/>
  <pageMargins left="0.75" right="0.75" top="1" bottom="1" header="0.5" footer="0.5"/>
  <pageSetup paperSize="9" scale="83" orientation="portrait" r:id="rId1"/>
  <headerFooter alignWithMargins="0">
    <oddHeader>&amp;LD.M. 313 del 25 05 1999&amp;Cart. 4 comma 1 spese documentate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51"/>
  <sheetViews>
    <sheetView tabSelected="1" workbookViewId="0">
      <selection activeCell="J10" sqref="J10"/>
    </sheetView>
  </sheetViews>
  <sheetFormatPr defaultRowHeight="12.75"/>
  <cols>
    <col min="1" max="1" width="5.140625" customWidth="1"/>
    <col min="2" max="2" width="10.140625" style="229" bestFit="1" customWidth="1"/>
    <col min="3" max="3" width="36.42578125" style="2" bestFit="1" customWidth="1"/>
    <col min="4" max="6" width="10.28515625" bestFit="1" customWidth="1"/>
    <col min="9" max="9" width="6.7109375" customWidth="1"/>
    <col min="10" max="10" width="6.7109375" bestFit="1" customWidth="1"/>
    <col min="11" max="11" width="42.85546875" bestFit="1" customWidth="1"/>
    <col min="14" max="14" width="10.28515625" bestFit="1" customWidth="1"/>
  </cols>
  <sheetData>
    <row r="1" spans="1:14" ht="13.5" thickBot="1"/>
    <row r="2" spans="1:14" ht="21.75" customHeight="1" thickTop="1" thickBot="1">
      <c r="A2" s="508" t="s">
        <v>300</v>
      </c>
      <c r="B2" s="509"/>
      <c r="C2" s="509"/>
      <c r="D2" s="509"/>
      <c r="E2" s="509"/>
      <c r="F2" s="510"/>
      <c r="I2" s="511" t="s">
        <v>175</v>
      </c>
      <c r="J2" s="512"/>
      <c r="K2" s="513"/>
    </row>
    <row r="3" spans="1:14" ht="20.25" customHeight="1" thickTop="1" thickBot="1">
      <c r="A3" s="33" t="s">
        <v>185</v>
      </c>
      <c r="B3" s="33" t="s">
        <v>18</v>
      </c>
      <c r="C3" s="34" t="s">
        <v>19</v>
      </c>
      <c r="D3" s="35" t="s">
        <v>20</v>
      </c>
      <c r="E3" s="35" t="s">
        <v>21</v>
      </c>
      <c r="F3" s="35" t="s">
        <v>22</v>
      </c>
      <c r="I3" s="231"/>
      <c r="J3" s="388"/>
      <c r="K3" s="232"/>
    </row>
    <row r="4" spans="1:14" ht="21" customHeight="1" thickTop="1" thickBot="1">
      <c r="A4" s="424">
        <v>1</v>
      </c>
      <c r="B4" s="419">
        <v>41565</v>
      </c>
      <c r="C4" s="420" t="s">
        <v>303</v>
      </c>
      <c r="D4" s="427"/>
      <c r="E4" s="427">
        <v>12000</v>
      </c>
      <c r="F4" s="250">
        <f>+E4-D4</f>
        <v>12000</v>
      </c>
      <c r="I4" s="386" t="s">
        <v>139</v>
      </c>
      <c r="J4" s="389">
        <v>0</v>
      </c>
      <c r="K4" s="387" t="s">
        <v>168</v>
      </c>
    </row>
    <row r="5" spans="1:14" ht="21" customHeight="1" thickTop="1" thickBot="1">
      <c r="A5" s="424">
        <f>1+A4</f>
        <v>2</v>
      </c>
      <c r="B5" s="419">
        <v>41572</v>
      </c>
      <c r="C5" s="420" t="s">
        <v>304</v>
      </c>
      <c r="D5" s="427">
        <v>11865</v>
      </c>
      <c r="E5" s="427"/>
      <c r="F5" s="242">
        <f>+F4+E5-D5</f>
        <v>135</v>
      </c>
      <c r="I5" s="231"/>
      <c r="J5" s="390"/>
      <c r="K5" s="233"/>
    </row>
    <row r="6" spans="1:14" ht="21" customHeight="1" thickTop="1" thickBot="1">
      <c r="A6" s="424">
        <f t="shared" ref="A6:A23" si="0">1+A5</f>
        <v>3</v>
      </c>
      <c r="B6" s="419">
        <v>41571</v>
      </c>
      <c r="C6" s="420" t="s">
        <v>305</v>
      </c>
      <c r="D6" s="427">
        <v>0</v>
      </c>
      <c r="E6" s="427"/>
      <c r="F6" s="242">
        <f>+F5+E6-D6</f>
        <v>135</v>
      </c>
      <c r="I6" s="386" t="s">
        <v>139</v>
      </c>
      <c r="J6" s="389">
        <v>0</v>
      </c>
      <c r="K6" s="387" t="s">
        <v>169</v>
      </c>
    </row>
    <row r="7" spans="1:14" ht="21" customHeight="1" thickTop="1" thickBot="1">
      <c r="A7" s="424">
        <f t="shared" si="0"/>
        <v>4</v>
      </c>
      <c r="B7" s="419">
        <v>41572</v>
      </c>
      <c r="C7" s="420" t="s">
        <v>306</v>
      </c>
      <c r="D7" s="427">
        <v>0</v>
      </c>
      <c r="E7" s="427"/>
      <c r="F7" s="242">
        <f t="shared" ref="F7:F13" si="1">+F6+E7-D7</f>
        <v>135</v>
      </c>
      <c r="I7" s="231" t="s">
        <v>139</v>
      </c>
      <c r="J7" s="391">
        <f>+J6+J4</f>
        <v>0</v>
      </c>
      <c r="K7" s="233" t="s">
        <v>170</v>
      </c>
    </row>
    <row r="8" spans="1:14" ht="20.25" customHeight="1" thickTop="1" thickBot="1">
      <c r="A8" s="424">
        <f t="shared" si="0"/>
        <v>5</v>
      </c>
      <c r="B8" s="419">
        <v>41591</v>
      </c>
      <c r="C8" s="420" t="s">
        <v>307</v>
      </c>
      <c r="D8" s="427">
        <v>0</v>
      </c>
      <c r="E8" s="427"/>
      <c r="F8" s="242">
        <f t="shared" si="1"/>
        <v>135</v>
      </c>
      <c r="I8" s="231" t="s">
        <v>140</v>
      </c>
      <c r="J8" s="230">
        <v>0</v>
      </c>
      <c r="K8" s="233" t="s">
        <v>171</v>
      </c>
    </row>
    <row r="9" spans="1:14" ht="21" customHeight="1" thickTop="1" thickBot="1">
      <c r="A9" s="424">
        <f t="shared" si="0"/>
        <v>6</v>
      </c>
      <c r="B9" s="419">
        <v>41662</v>
      </c>
      <c r="C9" s="420" t="s">
        <v>305</v>
      </c>
      <c r="D9" s="427">
        <v>0</v>
      </c>
      <c r="E9" s="427"/>
      <c r="F9" s="242">
        <f t="shared" si="1"/>
        <v>135</v>
      </c>
      <c r="I9" s="231" t="s">
        <v>140</v>
      </c>
      <c r="J9" s="393">
        <f>+J7*J8</f>
        <v>0</v>
      </c>
      <c r="K9" s="233" t="s">
        <v>173</v>
      </c>
    </row>
    <row r="10" spans="1:14" ht="21" customHeight="1" thickTop="1" thickBot="1">
      <c r="A10" s="424">
        <f t="shared" si="0"/>
        <v>7</v>
      </c>
      <c r="B10" s="419">
        <v>41666</v>
      </c>
      <c r="C10" s="420" t="s">
        <v>306</v>
      </c>
      <c r="D10" s="427">
        <v>0</v>
      </c>
      <c r="E10" s="427"/>
      <c r="F10" s="242">
        <f t="shared" si="1"/>
        <v>135</v>
      </c>
      <c r="I10" s="386" t="s">
        <v>141</v>
      </c>
      <c r="J10" s="394">
        <v>0.378</v>
      </c>
      <c r="K10" s="392" t="s">
        <v>138</v>
      </c>
    </row>
    <row r="11" spans="1:14" ht="18" customHeight="1" thickTop="1" thickBot="1">
      <c r="A11" s="424">
        <f t="shared" si="0"/>
        <v>8</v>
      </c>
      <c r="B11" s="419">
        <v>41688</v>
      </c>
      <c r="C11" s="420" t="s">
        <v>307</v>
      </c>
      <c r="D11" s="427">
        <v>0</v>
      </c>
      <c r="E11" s="427"/>
      <c r="F11" s="242">
        <f t="shared" si="1"/>
        <v>135</v>
      </c>
      <c r="I11" s="395" t="s">
        <v>141</v>
      </c>
      <c r="J11" s="396">
        <v>0</v>
      </c>
      <c r="K11" s="397" t="s">
        <v>174</v>
      </c>
    </row>
    <row r="12" spans="1:14" ht="20.25" customHeight="1" thickTop="1" thickBot="1">
      <c r="A12" s="424">
        <f t="shared" si="0"/>
        <v>9</v>
      </c>
      <c r="B12" s="419">
        <v>41765</v>
      </c>
      <c r="C12" s="420" t="s">
        <v>308</v>
      </c>
      <c r="D12" s="427">
        <v>0</v>
      </c>
      <c r="E12" s="427"/>
      <c r="F12" s="242">
        <f t="shared" si="1"/>
        <v>135</v>
      </c>
      <c r="I12" s="407" t="s">
        <v>141</v>
      </c>
      <c r="J12" s="408">
        <f>(J10*J9)+J11</f>
        <v>0</v>
      </c>
      <c r="K12" s="409" t="s">
        <v>172</v>
      </c>
    </row>
    <row r="13" spans="1:14" ht="20.25" customHeight="1" thickTop="1" thickBot="1">
      <c r="A13" s="424">
        <f t="shared" si="0"/>
        <v>10</v>
      </c>
      <c r="B13" s="419">
        <v>41766</v>
      </c>
      <c r="C13" s="420" t="s">
        <v>308</v>
      </c>
      <c r="D13" s="427">
        <v>0</v>
      </c>
      <c r="E13" s="427"/>
      <c r="F13" s="242">
        <f t="shared" si="1"/>
        <v>135</v>
      </c>
      <c r="I13" s="243"/>
      <c r="J13" s="249"/>
      <c r="K13" s="244"/>
    </row>
    <row r="14" spans="1:14" ht="20.25" customHeight="1" thickTop="1" thickBot="1">
      <c r="A14" s="424">
        <f t="shared" si="0"/>
        <v>11</v>
      </c>
      <c r="B14" s="419"/>
      <c r="C14" s="430"/>
      <c r="D14" s="427"/>
      <c r="E14" s="427"/>
      <c r="F14" s="250">
        <f t="shared" ref="F14:F23" si="2">+F13+E14-D14</f>
        <v>135</v>
      </c>
      <c r="I14" s="243"/>
      <c r="J14" s="249"/>
      <c r="K14" s="244"/>
      <c r="L14" s="514"/>
      <c r="M14" s="514"/>
      <c r="N14" s="514"/>
    </row>
    <row r="15" spans="1:14" ht="20.25" customHeight="1" thickTop="1" thickBot="1">
      <c r="A15" s="424">
        <f t="shared" si="0"/>
        <v>12</v>
      </c>
      <c r="B15" s="423"/>
      <c r="C15" s="422"/>
      <c r="D15" s="425"/>
      <c r="E15" s="425"/>
      <c r="F15" s="242">
        <f t="shared" si="2"/>
        <v>135</v>
      </c>
      <c r="I15" s="243"/>
      <c r="J15" s="249"/>
      <c r="K15" s="244"/>
      <c r="L15" s="251"/>
      <c r="M15" s="251"/>
      <c r="N15" s="417"/>
    </row>
    <row r="16" spans="1:14" ht="20.25" customHeight="1" thickTop="1" thickBot="1">
      <c r="A16" s="424">
        <f t="shared" si="0"/>
        <v>13</v>
      </c>
      <c r="B16" s="423"/>
      <c r="C16" s="422"/>
      <c r="D16" s="425"/>
      <c r="E16" s="425"/>
      <c r="F16" s="242">
        <f t="shared" si="2"/>
        <v>135</v>
      </c>
      <c r="I16" s="243"/>
      <c r="J16" s="249"/>
      <c r="K16" s="244"/>
      <c r="L16" s="251"/>
      <c r="M16" s="417"/>
      <c r="N16" s="417"/>
    </row>
    <row r="17" spans="1:14" ht="20.25" customHeight="1" thickTop="1" thickBot="1">
      <c r="A17" s="424">
        <f t="shared" si="0"/>
        <v>14</v>
      </c>
      <c r="B17" s="423"/>
      <c r="C17" s="422"/>
      <c r="D17" s="425"/>
      <c r="E17" s="425"/>
      <c r="F17" s="242">
        <f t="shared" si="2"/>
        <v>135</v>
      </c>
      <c r="I17" s="243"/>
      <c r="J17" s="249"/>
      <c r="K17" s="244"/>
      <c r="L17" s="251"/>
      <c r="M17" s="417"/>
      <c r="N17" s="417"/>
    </row>
    <row r="18" spans="1:14" ht="20.25" customHeight="1" thickTop="1" thickBot="1">
      <c r="A18" s="424">
        <f t="shared" si="0"/>
        <v>15</v>
      </c>
      <c r="B18" s="423"/>
      <c r="C18" s="422"/>
      <c r="D18" s="425"/>
      <c r="E18" s="425"/>
      <c r="F18" s="242">
        <f t="shared" si="2"/>
        <v>135</v>
      </c>
      <c r="I18" s="243"/>
      <c r="J18" s="249"/>
      <c r="K18" s="244"/>
      <c r="L18" s="251"/>
      <c r="M18" s="417"/>
      <c r="N18" s="417"/>
    </row>
    <row r="19" spans="1:14" ht="14.25" thickTop="1" thickBot="1">
      <c r="A19" s="424">
        <f t="shared" si="0"/>
        <v>16</v>
      </c>
      <c r="B19" s="423"/>
      <c r="C19" s="422"/>
      <c r="D19" s="425"/>
      <c r="E19" s="425"/>
      <c r="F19" s="242">
        <f t="shared" si="2"/>
        <v>135</v>
      </c>
      <c r="L19" s="416"/>
      <c r="M19" s="418"/>
      <c r="N19" s="418"/>
    </row>
    <row r="20" spans="1:14" ht="14.25" thickTop="1" thickBot="1">
      <c r="A20" s="424">
        <f t="shared" si="0"/>
        <v>17</v>
      </c>
      <c r="B20" s="423"/>
      <c r="C20" s="422"/>
      <c r="D20" s="425"/>
      <c r="E20" s="425"/>
      <c r="F20" s="242">
        <f t="shared" si="2"/>
        <v>135</v>
      </c>
    </row>
    <row r="21" spans="1:14" ht="14.25" thickTop="1" thickBot="1">
      <c r="A21" s="424">
        <f t="shared" si="0"/>
        <v>18</v>
      </c>
      <c r="B21" s="423"/>
      <c r="C21" s="422"/>
      <c r="D21" s="425"/>
      <c r="E21" s="425"/>
      <c r="F21" s="242">
        <f t="shared" si="2"/>
        <v>135</v>
      </c>
    </row>
    <row r="22" spans="1:14" ht="14.25" thickTop="1" thickBot="1">
      <c r="A22" s="424">
        <f t="shared" si="0"/>
        <v>19</v>
      </c>
      <c r="B22" s="423"/>
      <c r="C22" s="422"/>
      <c r="D22" s="425"/>
      <c r="E22" s="425"/>
      <c r="F22" s="242">
        <f t="shared" si="2"/>
        <v>135</v>
      </c>
    </row>
    <row r="23" spans="1:14" ht="14.25" thickTop="1" thickBot="1">
      <c r="A23" s="424">
        <f t="shared" si="0"/>
        <v>20</v>
      </c>
      <c r="B23" s="426"/>
      <c r="C23" s="422"/>
      <c r="D23" s="427"/>
      <c r="E23" s="427"/>
      <c r="F23" s="242">
        <f t="shared" si="2"/>
        <v>135</v>
      </c>
    </row>
    <row r="24" spans="1:14" ht="14.25" thickTop="1" thickBot="1">
      <c r="A24" s="424"/>
      <c r="B24" s="426"/>
      <c r="C24" s="422"/>
      <c r="D24" s="427"/>
      <c r="E24" s="427"/>
      <c r="F24" s="242">
        <f t="shared" ref="F24:F49" si="3">+F23+E24-D24</f>
        <v>135</v>
      </c>
    </row>
    <row r="25" spans="1:14" ht="14.25" thickTop="1" thickBot="1">
      <c r="A25" s="238"/>
      <c r="B25" s="419"/>
      <c r="C25" s="422"/>
      <c r="D25" s="421"/>
      <c r="E25" s="421"/>
      <c r="F25" s="242">
        <f t="shared" si="3"/>
        <v>135</v>
      </c>
    </row>
    <row r="26" spans="1:14" ht="14.25" thickTop="1" thickBot="1">
      <c r="A26" s="238"/>
      <c r="B26" s="419"/>
      <c r="C26" s="422"/>
      <c r="D26" s="421"/>
      <c r="E26" s="421"/>
      <c r="F26" s="242">
        <f t="shared" si="3"/>
        <v>135</v>
      </c>
    </row>
    <row r="27" spans="1:14" ht="14.25" thickTop="1" thickBot="1">
      <c r="A27" s="238"/>
      <c r="B27" s="419"/>
      <c r="C27" s="422"/>
      <c r="D27" s="421"/>
      <c r="E27" s="421"/>
      <c r="F27" s="242">
        <f t="shared" si="3"/>
        <v>135</v>
      </c>
    </row>
    <row r="28" spans="1:14" ht="14.25" thickTop="1" thickBot="1">
      <c r="A28" s="238"/>
      <c r="B28" s="419"/>
      <c r="C28" s="422"/>
      <c r="D28" s="421"/>
      <c r="E28" s="421"/>
      <c r="F28" s="242">
        <f t="shared" si="3"/>
        <v>135</v>
      </c>
    </row>
    <row r="29" spans="1:14" ht="14.25" thickTop="1" thickBot="1">
      <c r="A29" s="238"/>
      <c r="B29" s="419"/>
      <c r="C29" s="422"/>
      <c r="D29" s="421"/>
      <c r="E29" s="421"/>
      <c r="F29" s="242">
        <f t="shared" si="3"/>
        <v>135</v>
      </c>
    </row>
    <row r="30" spans="1:14" ht="14.25" thickTop="1" thickBot="1">
      <c r="A30" s="238"/>
      <c r="B30" s="419"/>
      <c r="C30" s="420"/>
      <c r="D30" s="421"/>
      <c r="E30" s="421"/>
      <c r="F30" s="242">
        <f t="shared" si="3"/>
        <v>135</v>
      </c>
    </row>
    <row r="31" spans="1:14" ht="14.25" thickTop="1" thickBot="1">
      <c r="A31" s="238"/>
      <c r="B31" s="419"/>
      <c r="C31" s="420"/>
      <c r="D31" s="421"/>
      <c r="E31" s="421"/>
      <c r="F31" s="242">
        <f t="shared" si="3"/>
        <v>135</v>
      </c>
    </row>
    <row r="32" spans="1:14" ht="14.25" thickTop="1" thickBot="1">
      <c r="A32" s="238"/>
      <c r="B32" s="406"/>
      <c r="C32" s="246"/>
      <c r="D32" s="247"/>
      <c r="E32" s="247"/>
      <c r="F32" s="242">
        <f t="shared" si="3"/>
        <v>135</v>
      </c>
    </row>
    <row r="33" spans="1:6" ht="14.25" thickTop="1" thickBot="1">
      <c r="A33" s="238"/>
      <c r="B33" s="406"/>
      <c r="C33" s="246"/>
      <c r="D33" s="247"/>
      <c r="E33" s="247"/>
      <c r="F33" s="242">
        <f t="shared" si="3"/>
        <v>135</v>
      </c>
    </row>
    <row r="34" spans="1:6" ht="14.25" thickTop="1" thickBot="1">
      <c r="A34" s="238"/>
      <c r="B34" s="406"/>
      <c r="C34" s="246"/>
      <c r="D34" s="247"/>
      <c r="E34" s="247"/>
      <c r="F34" s="242">
        <f t="shared" si="3"/>
        <v>135</v>
      </c>
    </row>
    <row r="35" spans="1:6" ht="14.25" thickTop="1" thickBot="1">
      <c r="A35" s="238"/>
      <c r="B35" s="245"/>
      <c r="C35" s="246"/>
      <c r="D35" s="405"/>
      <c r="E35" s="405"/>
      <c r="F35" s="242">
        <f t="shared" si="3"/>
        <v>135</v>
      </c>
    </row>
    <row r="36" spans="1:6" ht="14.25" thickTop="1" thickBot="1">
      <c r="A36" s="238"/>
      <c r="B36" s="245"/>
      <c r="C36" s="246"/>
      <c r="D36" s="405"/>
      <c r="E36" s="405"/>
      <c r="F36" s="242">
        <f t="shared" si="3"/>
        <v>135</v>
      </c>
    </row>
    <row r="37" spans="1:6" ht="14.25" thickTop="1" thickBot="1">
      <c r="A37" s="238"/>
      <c r="B37" s="245"/>
      <c r="C37" s="246"/>
      <c r="D37" s="405"/>
      <c r="E37" s="405"/>
      <c r="F37" s="242">
        <f t="shared" si="3"/>
        <v>135</v>
      </c>
    </row>
    <row r="38" spans="1:6" ht="14.25" thickTop="1" thickBot="1">
      <c r="A38" s="238"/>
      <c r="B38" s="245"/>
      <c r="C38" s="246"/>
      <c r="D38" s="405"/>
      <c r="E38" s="405"/>
      <c r="F38" s="242">
        <f t="shared" si="3"/>
        <v>135</v>
      </c>
    </row>
    <row r="39" spans="1:6" ht="14.25" thickTop="1" thickBot="1">
      <c r="A39" s="238"/>
      <c r="B39" s="245"/>
      <c r="C39" s="246"/>
      <c r="D39" s="405"/>
      <c r="E39" s="405"/>
      <c r="F39" s="242">
        <f t="shared" si="3"/>
        <v>135</v>
      </c>
    </row>
    <row r="40" spans="1:6" ht="14.25" thickTop="1" thickBot="1">
      <c r="A40" s="238"/>
      <c r="B40" s="245"/>
      <c r="C40" s="246"/>
      <c r="D40" s="405"/>
      <c r="E40" s="405"/>
      <c r="F40" s="242">
        <f t="shared" si="3"/>
        <v>135</v>
      </c>
    </row>
    <row r="41" spans="1:6" ht="14.25" thickTop="1" thickBot="1">
      <c r="A41" s="238"/>
      <c r="B41" s="245"/>
      <c r="C41" s="246"/>
      <c r="D41" s="405"/>
      <c r="E41" s="405"/>
      <c r="F41" s="242">
        <f t="shared" si="3"/>
        <v>135</v>
      </c>
    </row>
    <row r="42" spans="1:6" ht="14.25" thickTop="1" thickBot="1">
      <c r="A42" s="238"/>
      <c r="B42" s="245"/>
      <c r="C42" s="246"/>
      <c r="D42" s="405"/>
      <c r="E42" s="405"/>
      <c r="F42" s="242">
        <f t="shared" si="3"/>
        <v>135</v>
      </c>
    </row>
    <row r="43" spans="1:6" ht="14.25" thickTop="1" thickBot="1">
      <c r="A43" s="238"/>
      <c r="B43" s="245"/>
      <c r="C43" s="246"/>
      <c r="D43" s="405"/>
      <c r="E43" s="405"/>
      <c r="F43" s="242">
        <f t="shared" si="3"/>
        <v>135</v>
      </c>
    </row>
    <row r="44" spans="1:6" ht="14.25" thickTop="1" thickBot="1">
      <c r="A44" s="238"/>
      <c r="B44" s="245"/>
      <c r="C44" s="246"/>
      <c r="D44" s="405"/>
      <c r="E44" s="405"/>
      <c r="F44" s="242">
        <f t="shared" si="3"/>
        <v>135</v>
      </c>
    </row>
    <row r="45" spans="1:6" ht="14.25" thickTop="1" thickBot="1">
      <c r="A45" s="238"/>
      <c r="B45" s="245"/>
      <c r="C45" s="246"/>
      <c r="D45" s="405"/>
      <c r="E45" s="405"/>
      <c r="F45" s="242">
        <f t="shared" si="3"/>
        <v>135</v>
      </c>
    </row>
    <row r="46" spans="1:6" ht="14.25" thickTop="1" thickBot="1">
      <c r="A46" s="238"/>
      <c r="B46" s="245"/>
      <c r="C46" s="246"/>
      <c r="D46" s="405"/>
      <c r="E46" s="405"/>
      <c r="F46" s="242">
        <f t="shared" si="3"/>
        <v>135</v>
      </c>
    </row>
    <row r="47" spans="1:6" ht="14.25" thickTop="1" thickBot="1">
      <c r="A47" s="238"/>
      <c r="B47" s="245"/>
      <c r="C47" s="246"/>
      <c r="D47" s="405"/>
      <c r="E47" s="405"/>
      <c r="F47" s="242">
        <f t="shared" si="3"/>
        <v>135</v>
      </c>
    </row>
    <row r="48" spans="1:6" ht="14.25" thickTop="1" thickBot="1">
      <c r="A48" s="238"/>
      <c r="B48" s="245"/>
      <c r="C48" s="246"/>
      <c r="D48" s="405"/>
      <c r="E48" s="405"/>
      <c r="F48" s="242">
        <f t="shared" si="3"/>
        <v>135</v>
      </c>
    </row>
    <row r="49" spans="1:6" ht="14.25" thickTop="1" thickBot="1">
      <c r="A49" s="238"/>
      <c r="B49" s="245"/>
      <c r="C49" s="246"/>
      <c r="D49" s="405"/>
      <c r="E49" s="405"/>
      <c r="F49" s="242">
        <f t="shared" si="3"/>
        <v>135</v>
      </c>
    </row>
    <row r="50" spans="1:6" ht="17.25" thickTop="1" thickBot="1">
      <c r="A50" s="238"/>
      <c r="B50" s="239"/>
      <c r="C50" s="240" t="s">
        <v>184</v>
      </c>
      <c r="D50" s="241">
        <f>SUM(D4:D49)</f>
        <v>11865</v>
      </c>
      <c r="E50" s="241">
        <f>SUM(E4:E49)</f>
        <v>12000</v>
      </c>
      <c r="F50" s="241">
        <f>+E50-D50</f>
        <v>135</v>
      </c>
    </row>
    <row r="51" spans="1:6" ht="13.5" thickTop="1"/>
  </sheetData>
  <mergeCells count="3">
    <mergeCell ref="A2:F2"/>
    <mergeCell ref="I2:K2"/>
    <mergeCell ref="L14:N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P38"/>
  <sheetViews>
    <sheetView zoomScale="120" zoomScaleNormal="120" workbookViewId="0">
      <selection activeCell="A31" sqref="A31:D31"/>
    </sheetView>
  </sheetViews>
  <sheetFormatPr defaultColWidth="8.85546875" defaultRowHeight="12.75"/>
  <cols>
    <col min="1" max="1" width="12.140625" style="103" customWidth="1"/>
    <col min="2" max="3" width="8.85546875" style="103"/>
    <col min="4" max="4" width="9" style="103" customWidth="1"/>
    <col min="5" max="5" width="12.42578125" style="103" customWidth="1"/>
    <col min="6" max="6" width="8.85546875" style="103"/>
    <col min="7" max="7" width="11.28515625" style="103" bestFit="1" customWidth="1"/>
    <col min="8" max="8" width="8.85546875" style="103"/>
    <col min="9" max="9" width="11.28515625" style="103" bestFit="1" customWidth="1"/>
    <col min="10" max="10" width="7.5703125" style="103" customWidth="1"/>
    <col min="11" max="11" width="11.28515625" style="103" bestFit="1" customWidth="1"/>
    <col min="12" max="12" width="1.7109375" style="103" customWidth="1"/>
    <col min="13" max="13" width="11.28515625" style="103" customWidth="1"/>
    <col min="14" max="14" width="2" style="103" customWidth="1"/>
    <col min="15" max="15" width="11.5703125" style="103" customWidth="1"/>
    <col min="16" max="16384" width="8.85546875" style="103"/>
  </cols>
  <sheetData>
    <row r="1" spans="1:15" ht="18.75" customHeight="1" thickBot="1">
      <c r="A1" s="547" t="str">
        <f>"SVILUPPO LIQUIDAZIONE COMPENSI ED ONORARI "&amp;INSERIMENTO_DATI!$C$5&amp;" "&amp;INSERIMENTO_DATI!$C$6&amp;"    Proc. N. "&amp;INSERIMENTO_DATI!$C$2&amp;" R.G.Es."</f>
        <v>SVILUPPO LIQUIDAZIONE COMPENSI ED ONORARI avv. PILONE GIULIANO    Proc. N. 37/2011 R.G.Es.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9"/>
    </row>
    <row r="2" spans="1:15" ht="6.75" customHeight="1" thickBot="1"/>
    <row r="3" spans="1:15" ht="15.75" thickBot="1">
      <c r="A3" s="550" t="s">
        <v>272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2"/>
    </row>
    <row r="4" spans="1:15" ht="6.95" customHeight="1">
      <c r="A4" s="22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223"/>
    </row>
    <row r="5" spans="1:15" ht="13.15" customHeight="1">
      <c r="A5" s="553" t="s">
        <v>273</v>
      </c>
      <c r="B5" s="554"/>
      <c r="C5" s="554"/>
      <c r="D5" s="554"/>
      <c r="E5" s="313">
        <f>IF(INSERIMENTO_DATI!D7="si",+'DM 227'!Q11+'DM 227'!R11,+'DM 227'!O11)</f>
        <v>3000</v>
      </c>
      <c r="F5" s="314"/>
      <c r="G5" s="314"/>
      <c r="H5" s="314"/>
      <c r="I5" s="314"/>
      <c r="J5" s="314"/>
      <c r="K5" s="314"/>
      <c r="L5" s="314"/>
      <c r="M5" s="314"/>
      <c r="N5" s="178"/>
      <c r="O5" s="223"/>
    </row>
    <row r="6" spans="1:15" ht="13.15" customHeight="1">
      <c r="A6" s="553" t="s">
        <v>274</v>
      </c>
      <c r="B6" s="554"/>
      <c r="C6" s="554"/>
      <c r="D6" s="554"/>
      <c r="E6" s="313">
        <f>IF(INSERIMENTO_DATI!D7="si",+'DM 227'!Q13+'DM 227'!R13,+'DM 227'!N11)</f>
        <v>300</v>
      </c>
      <c r="F6" s="178"/>
      <c r="G6" s="178"/>
      <c r="H6" s="178"/>
      <c r="I6" s="178"/>
      <c r="J6" s="178"/>
      <c r="K6" s="178"/>
      <c r="L6" s="178"/>
      <c r="M6" s="178"/>
      <c r="N6" s="178"/>
      <c r="O6" s="223"/>
    </row>
    <row r="7" spans="1:15" ht="13.15" customHeight="1">
      <c r="A7" s="553" t="s">
        <v>118</v>
      </c>
      <c r="B7" s="554"/>
      <c r="C7" s="554"/>
      <c r="D7" s="554"/>
      <c r="E7" s="313">
        <f>+INSERIMENTO_DATI!M33</f>
        <v>0</v>
      </c>
      <c r="F7" s="178"/>
      <c r="G7" s="178"/>
      <c r="H7" s="178"/>
      <c r="I7" s="178"/>
      <c r="J7" s="178"/>
      <c r="K7" s="178"/>
      <c r="L7" s="178"/>
      <c r="M7" s="178"/>
      <c r="N7" s="178"/>
      <c r="O7" s="223"/>
    </row>
    <row r="8" spans="1:15" ht="13.5" customHeight="1">
      <c r="A8" s="555" t="s">
        <v>165</v>
      </c>
      <c r="B8" s="555"/>
      <c r="C8" s="555"/>
      <c r="D8" s="555"/>
      <c r="E8" s="373">
        <f>+E5+E6+E7</f>
        <v>3300</v>
      </c>
      <c r="F8" s="374"/>
      <c r="G8" s="374"/>
      <c r="H8" s="374"/>
      <c r="I8" s="374"/>
      <c r="J8" s="374"/>
      <c r="K8" s="374"/>
      <c r="L8" s="374"/>
      <c r="M8" s="374"/>
      <c r="N8" s="374"/>
      <c r="O8" s="375"/>
    </row>
    <row r="9" spans="1:15" ht="13.15" customHeight="1">
      <c r="A9" s="525" t="s">
        <v>278</v>
      </c>
      <c r="B9" s="526"/>
      <c r="C9" s="526"/>
      <c r="D9" s="526"/>
      <c r="E9" s="313">
        <f>+INSERIMENTO_DATI!H33</f>
        <v>11865</v>
      </c>
      <c r="F9" s="315"/>
      <c r="G9" s="315"/>
      <c r="H9" s="315"/>
      <c r="I9" s="315"/>
      <c r="J9" s="315"/>
      <c r="K9" s="315"/>
      <c r="L9" s="315"/>
      <c r="M9" s="315"/>
      <c r="N9" s="315"/>
      <c r="O9" s="316"/>
    </row>
    <row r="10" spans="1:15" ht="3" customHeight="1">
      <c r="A10" s="527"/>
      <c r="B10" s="527"/>
      <c r="C10" s="527"/>
      <c r="D10" s="527"/>
      <c r="E10" s="313"/>
      <c r="F10" s="107"/>
      <c r="G10" s="179"/>
      <c r="H10" s="178"/>
      <c r="I10" s="178"/>
      <c r="J10" s="178"/>
      <c r="K10" s="178"/>
      <c r="L10" s="178"/>
      <c r="M10" s="178"/>
      <c r="N10" s="178"/>
      <c r="O10" s="223"/>
    </row>
    <row r="11" spans="1:15" ht="13.5" thickBot="1">
      <c r="A11" s="532"/>
      <c r="B11" s="533"/>
      <c r="C11" s="533"/>
      <c r="D11" s="224"/>
      <c r="E11" s="225"/>
      <c r="F11" s="224"/>
      <c r="G11" s="224"/>
      <c r="H11" s="226"/>
      <c r="I11" s="226"/>
      <c r="J11" s="226"/>
      <c r="K11" s="226"/>
      <c r="L11" s="226"/>
      <c r="M11" s="226"/>
      <c r="N11" s="226"/>
      <c r="O11" s="227"/>
    </row>
    <row r="12" spans="1:15" ht="3" customHeight="1" thickBot="1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</row>
    <row r="13" spans="1:15" ht="15.75" thickBot="1">
      <c r="A13" s="544" t="s">
        <v>164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6"/>
    </row>
    <row r="14" spans="1:15" ht="1.5" customHeight="1">
      <c r="A14" s="213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214"/>
    </row>
    <row r="15" spans="1:15">
      <c r="A15" s="536" t="str">
        <f>IF(INSERIMENTO_DATI!$C$9&lt;=0,"nessuna attività di custodia","")</f>
        <v/>
      </c>
      <c r="B15" s="518"/>
      <c r="C15" s="518"/>
      <c r="D15" s="518"/>
      <c r="E15" s="522" t="str">
        <f>IF(INSERIMENTO_DATI!$C$9&gt;0,"LOTTO 1","")</f>
        <v>LOTTO 1</v>
      </c>
      <c r="F15" s="522"/>
      <c r="G15" s="522" t="str">
        <f>IF(INSERIMENTO_DATI!$C$9&gt;1,"LOTTO 2","")</f>
        <v>LOTTO 2</v>
      </c>
      <c r="H15" s="522"/>
      <c r="I15" s="522" t="str">
        <f>IF(INSERIMENTO_DATI!$C$9&gt;2,"LOTTO 3","")</f>
        <v/>
      </c>
      <c r="J15" s="522"/>
      <c r="K15" s="522" t="str">
        <f>IF(INSERIMENTO_DATI!$C$9&gt;3,"LOTTO 4","")</f>
        <v/>
      </c>
      <c r="L15" s="522"/>
      <c r="M15" s="522" t="str">
        <f>IF(INSERIMENTO_DATI!$C$9&gt;4,"LOTTO 5","")</f>
        <v/>
      </c>
      <c r="N15" s="522"/>
      <c r="O15" s="214"/>
    </row>
    <row r="16" spans="1:15">
      <c r="A16" s="536" t="str">
        <f>IF(INSERIMENTO_DATI!$C$9&lt;=0,"","Compenso base ex art. 2 co. 1 e 2:")</f>
        <v>Compenso base ex art. 2 co. 1 e 2:</v>
      </c>
      <c r="B16" s="518"/>
      <c r="C16" s="518"/>
      <c r="D16" s="518"/>
      <c r="E16" s="180" t="str">
        <f>IF(INSERIMENTO_DATI!$C$9&lt;1,"",TEXT('Sviluppo DM 80'!$D$10,"€ #.##0,00"))</f>
        <v>€ 250,00</v>
      </c>
      <c r="F16" s="180" t="str">
        <f>IF(INSERIMENTO_DATI!$C$9&lt;1,"",TEXT('Sviluppo DM 80'!$E$8,"0%"))</f>
        <v>100%</v>
      </c>
      <c r="G16" s="180" t="str">
        <f>IF(INSERIMENTO_DATI!$C$9&lt;2,"",TEXT('Sviluppo DM 80'!$F$10,"€ #.##0,00"))</f>
        <v>€ 1.212,50</v>
      </c>
      <c r="H16" s="180" t="str">
        <f>IF(INSERIMENTO_DATI!$C$9&lt;2,"",TEXT('Sviluppo DM 80'!$G$8,"0%"))</f>
        <v>100%</v>
      </c>
      <c r="I16" s="180" t="str">
        <f>IF(INSERIMENTO_DATI!$C$9&lt;3,"",TEXT('Sviluppo DM 80'!$H$10,"€ #.##0,00"))</f>
        <v/>
      </c>
      <c r="J16" s="180" t="str">
        <f>IF(INSERIMENTO_DATI!$C$9&lt;3,"",TEXT('Sviluppo DM 80'!$I$8,"0%"))</f>
        <v/>
      </c>
      <c r="K16" s="180" t="str">
        <f>IF(INSERIMENTO_DATI!$C$9&lt;4,"",TEXT('Sviluppo DM 80'!$J$10,"€ #.##0,00"))</f>
        <v/>
      </c>
      <c r="L16" s="180" t="str">
        <f>IF(INSERIMENTO_DATI!$C$9&lt;4,"",TEXT('Sviluppo DM 80'!$K$8,"0%"))</f>
        <v/>
      </c>
      <c r="M16" s="180" t="str">
        <f>IF(INSERIMENTO_DATI!$C$9&lt;5,"",TEXT('Sviluppo DM 80'!$L$10,"€ #.##0,00"))</f>
        <v/>
      </c>
      <c r="N16" s="180" t="str">
        <f>IF(INSERIMENTO_DATI!$C$9&lt;5,"",TEXT('Sviluppo DM 80'!$M$8,"0%"))</f>
        <v/>
      </c>
      <c r="O16" s="214"/>
    </row>
    <row r="17" spans="1:16">
      <c r="A17" s="536" t="str">
        <f>IF(INSERIMENTO_DATI!$C$9&lt;=0,"","Ridotto ex art. 2 co. 3 (cessazione anticipata):")</f>
        <v>Ridotto ex art. 2 co. 3 (cessazione anticipata):</v>
      </c>
      <c r="B17" s="518"/>
      <c r="C17" s="518"/>
      <c r="D17" s="518"/>
      <c r="E17" s="180" t="str">
        <f>IF(INSERIMENTO_DATI!$C$9&lt;1,"",IF('DM 80'!$E$12="x",TEXT('Sviluppo DM 80'!$D$12,"€ #.##0,00"),IF('DM 80'!$E$14="x",TEXT('Sviluppo DM 80'!$D$14,"€ #.##0,00"),"        no")))</f>
        <v xml:space="preserve">        no</v>
      </c>
      <c r="F17" s="180" t="str">
        <f>IF(INSERIMENTO_DATI!$C$9&lt;1,"",IF('DM 80'!$E$12="x",TEXT('Sviluppo DM 80'!$E$12,"0%"),IF('DM 80'!$E$14="x",TEXT('Sviluppo DM 80'!$E$14,"0%"),"")))</f>
        <v/>
      </c>
      <c r="G17" s="180" t="str">
        <f>IF(INSERIMENTO_DATI!$C$9&lt;2,"",IF('DM 80'!$G$12="x",TEXT('Sviluppo DM 80'!$F$12,"€ #.##0,00"),IF('DM 80'!$G$14="x",TEXT('Sviluppo DM 80'!$F$14,"€ #.##0,00"),"        no")))</f>
        <v xml:space="preserve">        no</v>
      </c>
      <c r="H17" s="180" t="str">
        <f>IF(INSERIMENTO_DATI!$C$9&lt;2,"",IF('DM 80'!$E$12="x",TEXT('Sviluppo DM 80'!$G$12,"0%"),IF('DM 80'!$E$14="x",TEXT('Sviluppo DM 80'!$G$14,"0%"),"")))</f>
        <v/>
      </c>
      <c r="I17" s="180" t="str">
        <f>IF(INSERIMENTO_DATI!$C$9&lt;3,"",IF('DM 80'!$I$12="x",TEXT('Sviluppo DM 80'!$H$12,"€ #.##0,00"),IF('DM 80'!$I$14="x",TEXT('Sviluppo DM 80'!$H$14,"€ #.##0,00"),"        no")))</f>
        <v/>
      </c>
      <c r="J17" s="180" t="str">
        <f>IF(INSERIMENTO_DATI!$C$9&lt;3,"",IF('DM 80'!$E$12="x",TEXT('Sviluppo DM 80'!$I$12,"0%"),IF('DM 80'!$E$14="x",TEXT('Sviluppo DM 80'!$I$14,"0%"),"")))</f>
        <v/>
      </c>
      <c r="K17" s="180" t="str">
        <f>IF(INSERIMENTO_DATI!$C$9&lt;4,"",IF('DM 80'!$K$12="x",TEXT('Sviluppo DM 80'!$J$12,"€ #.##0,00"),IF('DM 80'!$K$14="x",TEXT('Sviluppo DM 80'!$J$14,"€ #.##0,00"),"        no")))</f>
        <v/>
      </c>
      <c r="L17" s="180" t="str">
        <f>IF(INSERIMENTO_DATI!$C$9&lt;4,"",IF('DM 80'!$E$12="x",TEXT('Sviluppo DM 80'!$K$12,"0%"),IF('DM 80'!$E$14="x",TEXT('Sviluppo DM 80'!$K$14,"0%"),"")))</f>
        <v/>
      </c>
      <c r="M17" s="180" t="str">
        <f>IF(INSERIMENTO_DATI!$C$9&lt;5,"",IF('DM 80'!$M$12="x",TEXT('Sviluppo DM 80'!$L$12,"€ #.##0,00"),IF('DM 80'!$M$14="x",TEXT('Sviluppo DM 80'!$L$14,"€ #.##0,00"),"        no")))</f>
        <v/>
      </c>
      <c r="N17" s="180" t="str">
        <f>IF(INSERIMENTO_DATI!$C$9&lt;5,"",IF('DM 80'!$E$12="x",TEXT('Sviluppo DM 80'!$M$12,"0%"),IF('DM 80'!$E$14="x",TEXT('Sviluppo DM 80'!$M$14,"0%"),"")))</f>
        <v/>
      </c>
      <c r="O17" s="214"/>
    </row>
    <row r="18" spans="1:16">
      <c r="A18" s="536" t="str">
        <f>IF(INSERIMENTO_DATI!$C$9&lt;=0,"","Ridotto ex art. 2 co. 4 (ridotta complessità): ")</f>
        <v xml:space="preserve">Ridotto ex art. 2 co. 4 (ridotta complessità): </v>
      </c>
      <c r="B18" s="518"/>
      <c r="C18" s="518"/>
      <c r="D18" s="518"/>
      <c r="E18" s="180" t="str">
        <f>IF(INSERIMENTO_DATI!$C$9&lt;1,"",IF('Sviluppo DM 80'!$D$17=0,"        no",TEXT('Sviluppo DM 80'!$D$17,"€ #.##0,00")))</f>
        <v>€ 225,00</v>
      </c>
      <c r="F18" s="180" t="str">
        <f>IF(INSERIMENTO_DATI!$C$9&lt;1,"",IF('Sviluppo DM 80'!$E$17=0,"",TEXT('Sviluppo DM 80'!$E$17,"0%")))</f>
        <v>90%</v>
      </c>
      <c r="G18" s="180" t="str">
        <f>IF(INSERIMENTO_DATI!$C$9&lt;2,"",IF('Sviluppo DM 80'!$F$17=0,"        no",TEXT('Sviluppo DM 80'!$F$17,"€ #.##0,00")))</f>
        <v>€ 1.091,25</v>
      </c>
      <c r="H18" s="180" t="str">
        <f>IF(INSERIMENTO_DATI!$C$9&lt;2,"",IF('Sviluppo DM 80'!$G$17=0,"",TEXT('Sviluppo DM 80'!$G$17,"0%")))</f>
        <v>90%</v>
      </c>
      <c r="I18" s="180" t="str">
        <f>IF(INSERIMENTO_DATI!$C$9&lt;3,"",IF('Sviluppo DM 80'!$H$17=0,"        no",TEXT('Sviluppo DM 80'!$H$17,"€ #.##0,00")))</f>
        <v/>
      </c>
      <c r="J18" s="180" t="str">
        <f>IF(INSERIMENTO_DATI!$C$9&lt;3,"",IF('Sviluppo DM 80'!$I$17=0,"",TEXT('Sviluppo DM 80'!$I$17,"0%")))</f>
        <v/>
      </c>
      <c r="K18" s="180" t="str">
        <f>IF(INSERIMENTO_DATI!$C$9&lt;4,"",IF('Sviluppo DM 80'!$J$17=0,"        no",TEXT('Sviluppo DM 80'!$J$17,"€ #.##0,00")))</f>
        <v/>
      </c>
      <c r="L18" s="180" t="str">
        <f>IF(INSERIMENTO_DATI!$C$9&lt;4,"",IF('Sviluppo DM 80'!$K$17=0,"",TEXT('Sviluppo DM 80'!$K$17,"0%")))</f>
        <v/>
      </c>
      <c r="M18" s="180" t="str">
        <f>IF(INSERIMENTO_DATI!$C$9&lt;5,"",IF('Sviluppo DM 80'!$L$17=0,"        no",TEXT('Sviluppo DM 80'!$L$17,"€ #.##0,00")))</f>
        <v/>
      </c>
      <c r="N18" s="180" t="str">
        <f>IF(INSERIMENTO_DATI!$C$9&lt;5,"",IF('Sviluppo DM 80'!$M$17=0,"",TEXT('Sviluppo DM 80'!$M$17,"0%")))</f>
        <v/>
      </c>
      <c r="O18" s="214"/>
    </row>
    <row r="19" spans="1:16">
      <c r="A19" s="536" t="str">
        <f>IF(INSERIMENTO_DATI!$C$9&lt;=0,"","Aumentato ex art. 2 co. 5: ")</f>
        <v xml:space="preserve">Aumentato ex art. 2 co. 5: </v>
      </c>
      <c r="B19" s="518"/>
      <c r="C19" s="518"/>
      <c r="D19" s="518"/>
      <c r="E19" s="180" t="str">
        <f>IF(INSERIMENTO_DATI!$C$9&lt;1,"",IF('Sviluppo DM 80'!$D$19=0,"        no",TEXT('Sviluppo DM 80'!$D$19,"€ #.##0,00")))</f>
        <v xml:space="preserve">        no</v>
      </c>
      <c r="F19" s="180" t="str">
        <f>IF(INSERIMENTO_DATI!$C$9&lt;1,"",IF('Sviluppo DM 80'!$E$19=0,"",TEXT('Sviluppo DM 80'!$E$19,"0%")))</f>
        <v/>
      </c>
      <c r="G19" s="180" t="str">
        <f>IF(INSERIMENTO_DATI!$C$9&lt;2,"",IF('Sviluppo DM 80'!$F$19=0,"        no",TEXT('Sviluppo DM 80'!$F$19,"€ #.##0,00")))</f>
        <v xml:space="preserve">        no</v>
      </c>
      <c r="H19" s="180" t="str">
        <f>IF(INSERIMENTO_DATI!$C$9&lt;2,"",IF('Sviluppo DM 80'!$G$19=0,"",TEXT('Sviluppo DM 80'!$G$19,"0%")))</f>
        <v/>
      </c>
      <c r="I19" s="180" t="str">
        <f>IF(INSERIMENTO_DATI!$C$9&lt;3,"",IF('Sviluppo DM 80'!$H$19=0,"        no",TEXT('Sviluppo DM 80'!$H$19,"€ #.##0,00")))</f>
        <v/>
      </c>
      <c r="J19" s="180" t="str">
        <f>IF(INSERIMENTO_DATI!$C$9&lt;3,"",IF('Sviluppo DM 80'!$I$19=0,"",TEXT('Sviluppo DM 80'!$I$19,"0%")))</f>
        <v/>
      </c>
      <c r="K19" s="180" t="str">
        <f>IF(INSERIMENTO_DATI!$C$9&lt;4,"",IF('Sviluppo DM 80'!$J$19=0,"        no",TEXT('Sviluppo DM 80'!$J$19,"€ #.##0,00")))</f>
        <v/>
      </c>
      <c r="L19" s="180" t="str">
        <f>IF(INSERIMENTO_DATI!$C$9&lt;4,"",IF('Sviluppo DM 80'!$K$19=0,"",TEXT('Sviluppo DM 80'!$K$19,"0%")))</f>
        <v/>
      </c>
      <c r="M19" s="180" t="str">
        <f>IF(INSERIMENTO_DATI!$C$9&lt;5,"",IF('Sviluppo DM 80'!$L$19=0,"        no",TEXT('Sviluppo DM 80'!$L$19,"€ #.##0,00")))</f>
        <v/>
      </c>
      <c r="N19" s="180" t="str">
        <f>IF(INSERIMENTO_DATI!$C$9&lt;5,"",IF('Sviluppo DM 80'!$M$19=0,"",TEXT('Sviluppo DM 80'!$M$19,"0%")))</f>
        <v/>
      </c>
      <c r="O19" s="214"/>
    </row>
    <row r="20" spans="1:16">
      <c r="A20" s="536" t="str">
        <f>IF(INSERIMENTO_DATI!$C$9&lt;=0,"","Aumentato ex art. 3 co. 2 (ulteriori attività): ")</f>
        <v xml:space="preserve">Aumentato ex art. 3 co. 2 (ulteriori attività): </v>
      </c>
      <c r="B20" s="518"/>
      <c r="C20" s="518"/>
      <c r="D20" s="518"/>
      <c r="E20" s="180" t="str">
        <f>IF(INSERIMENTO_DATI!$C$9&lt;1,"",IF('Sviluppo DM 80'!$D$24=0,"        no",TEXT('Sviluppo DM 80'!$D$24,"€ #.##0,00")))</f>
        <v xml:space="preserve">        no</v>
      </c>
      <c r="F20" s="180" t="str">
        <f>IF(INSERIMENTO_DATI!$C$9&lt;1,"",IF('Sviluppo DM 80'!$E$24=0,"",TEXT('Sviluppo DM 80'!$E$24,"0%")))</f>
        <v/>
      </c>
      <c r="G20" s="180" t="str">
        <f>IF(INSERIMENTO_DATI!$C$9&lt;2,"",IF('Sviluppo DM 80'!$F$24=0,"        no",TEXT('Sviluppo DM 80'!$F$24,"€ #.##0,00")))</f>
        <v xml:space="preserve">        no</v>
      </c>
      <c r="H20" s="180" t="str">
        <f>IF(INSERIMENTO_DATI!$C$9&lt;2,"",IF('Sviluppo DM 80'!$G$24=0,"",TEXT('Sviluppo DM 80'!$G$24,"0%")))</f>
        <v/>
      </c>
      <c r="I20" s="180" t="str">
        <f>IF(INSERIMENTO_DATI!$C$9&lt;3,"",IF('Sviluppo DM 80'!$H$24=0,"        no",TEXT('Sviluppo DM 80'!$H$24,"€ #.##0,00")))</f>
        <v/>
      </c>
      <c r="J20" s="180" t="str">
        <f>IF(INSERIMENTO_DATI!$C$9&lt;3,"",IF('Sviluppo DM 80'!$I$24=0,"",TEXT('Sviluppo DM 80'!$I$24,"0%")))</f>
        <v/>
      </c>
      <c r="K20" s="180" t="str">
        <f>IF(INSERIMENTO_DATI!$C$9&lt;4,"",IF('Sviluppo DM 80'!$J$24=0,"        no",TEXT('Sviluppo DM 80'!$J$24,"€ #.##0,00")))</f>
        <v/>
      </c>
      <c r="L20" s="180" t="str">
        <f>IF(INSERIMENTO_DATI!$C$9&lt;4,"",IF('Sviluppo DM 80'!$K$24=0,"",TEXT('Sviluppo DM 80'!$K$24,"0%")))</f>
        <v/>
      </c>
      <c r="M20" s="180" t="str">
        <f>IF(INSERIMENTO_DATI!$C$9&lt;5,"",IF('Sviluppo DM 80'!$L$24=0,"        no",TEXT('Sviluppo DM 80'!$L$24,"€ #.##0,00")))</f>
        <v/>
      </c>
      <c r="N20" s="180" t="str">
        <f>IF(INSERIMENTO_DATI!$C$9&lt;5,"",IF('Sviluppo DM 80'!$M$24=0,"",TEXT('Sviluppo DM 80'!$M$24,"0%")))</f>
        <v/>
      </c>
      <c r="O20" s="214"/>
    </row>
    <row r="21" spans="1:16">
      <c r="A21" s="541" t="str">
        <f>IF(INSERIMENTO_DATI!$C$9&lt;=0,"","Compenso aggiuntivo ex art. 3 co. 1: ")</f>
        <v xml:space="preserve">Compenso aggiuntivo ex art. 3 co. 1: </v>
      </c>
      <c r="B21" s="542"/>
      <c r="C21" s="542"/>
      <c r="D21" s="542"/>
      <c r="E21" s="212" t="str">
        <f>IF(INSERIMENTO_DATI!$C$9&lt;1,"",IF('Sviluppo DM 80'!$D$22=0,"        no",TEXT('Sviluppo DM 80'!$D$22,"€ #.##0,00")))</f>
        <v xml:space="preserve">        no</v>
      </c>
      <c r="F21" s="211"/>
      <c r="G21" s="212" t="str">
        <f>IF(INSERIMENTO_DATI!$C$9&lt;2,"",IF('Sviluppo DM 80'!$F$22=0,"        no",TEXT('Sviluppo DM 80'!$F$22,"€ #.##0,00")))</f>
        <v xml:space="preserve">        no</v>
      </c>
      <c r="H21" s="211"/>
      <c r="I21" s="212" t="str">
        <f>IF(INSERIMENTO_DATI!$C$9&lt;3,"",IF('Sviluppo DM 80'!$H$22=0,"        no",TEXT('Sviluppo DM 80'!$H$22,"€ #.##0,00")))</f>
        <v/>
      </c>
      <c r="J21" s="211"/>
      <c r="K21" s="212" t="str">
        <f>IF(INSERIMENTO_DATI!$C$9&lt;4,"",IF('Sviluppo DM 80'!$J$22=0,"        no",TEXT('Sviluppo DM 80'!$J$22,"€ #.##0,00")))</f>
        <v/>
      </c>
      <c r="L21" s="211"/>
      <c r="M21" s="212" t="str">
        <f>IF(INSERIMENTO_DATI!$C$9&lt;5,"",IF('Sviluppo DM 80'!$L$22=0,"        no",TEXT('Sviluppo DM 80'!$L$22,"€ #.##0,00")))</f>
        <v/>
      </c>
      <c r="N21" s="211"/>
      <c r="O21" s="215"/>
    </row>
    <row r="22" spans="1:16">
      <c r="A22" s="539" t="s">
        <v>163</v>
      </c>
      <c r="B22" s="540"/>
      <c r="C22" s="540"/>
      <c r="D22" s="540"/>
      <c r="E22" s="534" t="str">
        <f>IF(INSERIMENTO_DATI!$C$9&lt;1,"",IF('Sviluppo DM 80'!$D$31=0,0,TEXT('Sviluppo DM 80'!$D$31,"€ #.##0,00")))</f>
        <v>€ 225,00</v>
      </c>
      <c r="F22" s="534" t="str">
        <f>IF(INSERIMENTO_DATI!$C$9&lt;1,"",IF('Sviluppo DM 80'!$D$22=0,"        no",TEXT('Sviluppo DM 80'!$D$22,"€ #.##0,00")))</f>
        <v xml:space="preserve">        no</v>
      </c>
      <c r="G22" s="534" t="str">
        <f>IF(INSERIMENTO_DATI!$C$9&lt;2,"",IF('Sviluppo DM 80'!$F$31=0,0,TEXT('Sviluppo DM 80'!$F$31,"€ #.##0,00")))</f>
        <v>€ 1.091,25</v>
      </c>
      <c r="H22" s="534" t="str">
        <f>IF(INSERIMENTO_DATI!$C$9&lt;1,"",IF('Sviluppo DM 80'!$D$22=0,"        no",TEXT('Sviluppo DM 80'!$D$22,"€ #.##0,00")))</f>
        <v xml:space="preserve">        no</v>
      </c>
      <c r="I22" s="534" t="str">
        <f>IF(INSERIMENTO_DATI!$C$9&lt;3,"",IF('Sviluppo DM 80'!$H$31=0,0,TEXT('Sviluppo DM 80'!$H$31,"€ #.##0,00")))</f>
        <v/>
      </c>
      <c r="J22" s="534" t="str">
        <f>IF(INSERIMENTO_DATI!$C$9&lt;1,"",IF('Sviluppo DM 80'!$D$22=0,"        no",TEXT('Sviluppo DM 80'!$D$22,"€ #.##0,00")))</f>
        <v xml:space="preserve">        no</v>
      </c>
      <c r="K22" s="534" t="str">
        <f>IF(INSERIMENTO_DATI!$C$9&lt;4,"",IF('Sviluppo DM 80'!$J$31=0,0,TEXT('Sviluppo DM 80'!$J$31,"€ #.##0,00")))</f>
        <v/>
      </c>
      <c r="L22" s="534" t="str">
        <f>IF(INSERIMENTO_DATI!$C$9&lt;1,"",IF('Sviluppo DM 80'!$D$22=0,"        no",TEXT('Sviluppo DM 80'!$D$22,"€ #.##0,00")))</f>
        <v xml:space="preserve">        no</v>
      </c>
      <c r="M22" s="534" t="str">
        <f>IF(INSERIMENTO_DATI!$C$9&lt;5,"",IF('Sviluppo DM 80'!$L$31=0,0,TEXT('Sviluppo DM 80'!$L$31,"€ #.##0,00")))</f>
        <v/>
      </c>
      <c r="N22" s="534" t="str">
        <f>IF(INSERIMENTO_DATI!$C$9&lt;1,"",IF('Sviluppo DM 80'!$D$22=0,"        no",TEXT('Sviluppo DM 80'!$D$22,"€ #.##0,00")))</f>
        <v xml:space="preserve">        no</v>
      </c>
      <c r="O22" s="220"/>
    </row>
    <row r="23" spans="1:16">
      <c r="A23" s="537" t="s">
        <v>166</v>
      </c>
      <c r="B23" s="538"/>
      <c r="C23" s="538"/>
      <c r="D23" s="182"/>
      <c r="E23" s="543">
        <f>IF(INSERIMENTO_DATI!$C$9&lt;=0,"",IF(INSERIMENTO_DATI!$C$9=1,$E$22,IF(INSERIMENTO_DATI!$C$9=2,($E$22+$G$22),IF(INSERIMENTO_DATI!$C$9=3,($E$22+$G$22+$I$22),IF(INSERIMENTO_DATI!$C$9=4,($E$22+$G$22+$I$22+$K$22),($E$22+$G$22+$I$22+$K$22+$M$22))))))</f>
        <v>1316.25</v>
      </c>
      <c r="F23" s="543"/>
      <c r="G23" s="181"/>
      <c r="H23" s="181"/>
      <c r="I23" s="178"/>
      <c r="J23" s="178"/>
      <c r="K23" s="178"/>
      <c r="L23" s="178"/>
      <c r="M23" s="178"/>
      <c r="N23" s="178"/>
      <c r="O23" s="214"/>
    </row>
    <row r="24" spans="1:16">
      <c r="A24" s="537" t="s">
        <v>167</v>
      </c>
      <c r="B24" s="538"/>
      <c r="C24" s="538"/>
      <c r="D24" s="221">
        <v>0.1</v>
      </c>
      <c r="E24" s="188">
        <f>+E23*D24</f>
        <v>131.63</v>
      </c>
      <c r="F24" s="181"/>
      <c r="G24" s="181"/>
      <c r="H24" s="181"/>
      <c r="I24" s="178"/>
      <c r="J24" s="178"/>
      <c r="K24" s="178"/>
      <c r="L24" s="178"/>
      <c r="M24" s="178"/>
      <c r="N24" s="178"/>
      <c r="O24" s="214"/>
    </row>
    <row r="25" spans="1:16" ht="13.5" thickBot="1">
      <c r="A25" s="515" t="s">
        <v>165</v>
      </c>
      <c r="B25" s="516"/>
      <c r="C25" s="516"/>
      <c r="D25" s="216"/>
      <c r="E25" s="217">
        <f>+E24+E23</f>
        <v>1447.88</v>
      </c>
      <c r="F25" s="217"/>
      <c r="G25" s="217"/>
      <c r="H25" s="217"/>
      <c r="I25" s="218"/>
      <c r="J25" s="218"/>
      <c r="K25" s="218"/>
      <c r="L25" s="218"/>
      <c r="M25" s="218"/>
      <c r="N25" s="218"/>
      <c r="O25" s="219"/>
    </row>
    <row r="26" spans="1:16" ht="3.75" customHeight="1" thickBot="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</row>
    <row r="27" spans="1:16" ht="15" thickBot="1">
      <c r="A27" s="519" t="str">
        <f ca="1">IF(OR(INSERIMENTO_DATI!$C$9&lt;1,INSERIMENTO_DATI!$D$7="si"),"Pescara, "&amp;TEXT(TODAY(),"g/m/aaaa")&amp;"                                                                                                                                                                                                                 Il G.E. ","  ONORARI A CARICO DELL'AGGIUDICATARIO DI CIASCUN LOTTO")</f>
        <v xml:space="preserve">  ONORARI A CARICO DELL'AGGIUDICATARIO DI CIASCUN LOTTO</v>
      </c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1"/>
      <c r="P27" s="178"/>
    </row>
    <row r="28" spans="1:16" ht="1.5" customHeight="1">
      <c r="A28" s="517"/>
      <c r="B28" s="518"/>
      <c r="C28" s="518"/>
      <c r="D28" s="51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210"/>
    </row>
    <row r="29" spans="1:16">
      <c r="A29" s="517"/>
      <c r="B29" s="518"/>
      <c r="C29" s="518"/>
      <c r="D29" s="518"/>
      <c r="E29" s="524" t="str">
        <f>IF(INSERIMENTO_DATI!$D$7="si","",IF(INSERIMENTO_DATI!$C$11&gt;0,"LOTTO 1",""))</f>
        <v>LOTTO 1</v>
      </c>
      <c r="F29" s="524"/>
      <c r="G29" s="524" t="str">
        <f>IF(INSERIMENTO_DATI!$D$7="si","",IF(INSERIMENTO_DATI!$E$11&gt;0,"LOTTO 2",""))</f>
        <v>LOTTO 2</v>
      </c>
      <c r="H29" s="524"/>
      <c r="I29" s="524" t="str">
        <f>IF(INSERIMENTO_DATI!$D$7="si","",IF(INSERIMENTO_DATI!$G$11&gt;0,"LOTTO 3",""))</f>
        <v/>
      </c>
      <c r="J29" s="524"/>
      <c r="K29" s="524" t="str">
        <f>IF(INSERIMENTO_DATI!$D$7="si","",IF(INSERIMENTO_DATI!$I$11&gt;0,"LOTTO 4",""))</f>
        <v/>
      </c>
      <c r="L29" s="524"/>
      <c r="M29" s="524" t="str">
        <f>IF(INSERIMENTO_DATI!$D$7="si","",IF(INSERIMENTO_DATI!$K$11&gt;0,"LOTTO 5",""))</f>
        <v/>
      </c>
      <c r="N29" s="524"/>
      <c r="O29" s="377" t="s">
        <v>287</v>
      </c>
    </row>
    <row r="30" spans="1:16">
      <c r="A30" s="528" t="s">
        <v>285</v>
      </c>
      <c r="B30" s="529"/>
      <c r="C30" s="529"/>
      <c r="D30" s="529"/>
      <c r="E30" s="522">
        <f ca="1">IF($A$27="  ONORARI A CARICO DELL'AGGIUDICATARIO DI CIASCUN LOTTO",+'DM 227'!F61,0)</f>
        <v>500</v>
      </c>
      <c r="F30" s="522"/>
      <c r="G30" s="522">
        <f ca="1">IF($A$27="  ONORARI A CARICO DELL'AGGIUDICATARIO DI CIASCUN LOTTO",+'DM 227'!G61,0)</f>
        <v>500</v>
      </c>
      <c r="H30" s="522"/>
      <c r="I30" s="522">
        <f ca="1">IF($A$27="  ONORARI A CARICO DELL'AGGIUDICATARIO DI CIASCUN LOTTO",+'DM 227'!H61,0)</f>
        <v>0</v>
      </c>
      <c r="J30" s="522"/>
      <c r="K30" s="522">
        <f ca="1">IF($A$27="  ONORARI A CARICO DELL'AGGIUDICATARIO DI CIASCUN LOTTO",+'DM 227'!I61,0)</f>
        <v>0</v>
      </c>
      <c r="L30" s="522"/>
      <c r="M30" s="522">
        <f ca="1">IF($A$27="  ONORARI A CARICO DELL'AGGIUDICATARIO DI CIASCUN LOTTO",+'DM 227'!J61,0)</f>
        <v>0</v>
      </c>
      <c r="N30" s="522"/>
      <c r="O30" s="376">
        <f ca="1">IF($A$27="  ONORARI A CARICO DELL'AGGIUDICATARIO DI CIASCUN LOTTO",+'DM 227'!L61,0)</f>
        <v>0</v>
      </c>
    </row>
    <row r="31" spans="1:16">
      <c r="A31" s="528" t="s">
        <v>286</v>
      </c>
      <c r="B31" s="529"/>
      <c r="C31" s="529"/>
      <c r="D31" s="529"/>
      <c r="E31" s="522">
        <f ca="1">IF($A$27="  ONORARI A CARICO DELL'AGGIUDICATARIO DI CIASCUN LOTTO",+'DM 227'!F62,0)</f>
        <v>100</v>
      </c>
      <c r="F31" s="522"/>
      <c r="G31" s="522">
        <f ca="1">IF($A$27="  ONORARI A CARICO DELL'AGGIUDICATARIO DI CIASCUN LOTTO",+'DM 227'!G62,0)</f>
        <v>0</v>
      </c>
      <c r="H31" s="522"/>
      <c r="I31" s="522">
        <f ca="1">IF($A$27="  ONORARI A CARICO DELL'AGGIUDICATARIO DI CIASCUN LOTTO",+'DM 227'!H62,0)</f>
        <v>0</v>
      </c>
      <c r="J31" s="522"/>
      <c r="K31" s="522">
        <f ca="1">IF($A$27="  ONORARI A CARICO DELL'AGGIUDICATARIO DI CIASCUN LOTTO",+'DM 227'!I62,0)</f>
        <v>0</v>
      </c>
      <c r="L31" s="522"/>
      <c r="M31" s="522">
        <f ca="1">IF($A$27="  ONORARI A CARICO DELL'AGGIUDICATARIO DI CIASCUN LOTTO",+'DM 227'!J62,0)</f>
        <v>0</v>
      </c>
      <c r="N31" s="522"/>
      <c r="O31" s="376">
        <f ca="1">IF($A$27="  ONORARI A CARICO DELL'AGGIUDICATARIO DI CIASCUN LOTTO",+'DM 227'!L62,0)</f>
        <v>0</v>
      </c>
    </row>
    <row r="32" spans="1:16">
      <c r="A32" s="528" t="s">
        <v>288</v>
      </c>
      <c r="B32" s="529"/>
      <c r="C32" s="529"/>
      <c r="D32" s="529"/>
      <c r="E32" s="522">
        <f ca="1">IF($A$27="  ONORARI A CARICO DELL'AGGIUDICATARIO DI CIASCUN LOTTO",+'DM 227'!F63,0)</f>
        <v>50</v>
      </c>
      <c r="F32" s="522"/>
      <c r="G32" s="522">
        <f ca="1">IF($A$27="  ONORARI A CARICO DELL'AGGIUDICATARIO DI CIASCUN LOTTO",+'DM 227'!G63,0)</f>
        <v>50</v>
      </c>
      <c r="H32" s="522"/>
      <c r="I32" s="522">
        <f ca="1">IF($A$27="  ONORARI A CARICO DELL'AGGIUDICATARIO DI CIASCUN LOTTO",+'DM 227'!H63,0)</f>
        <v>0</v>
      </c>
      <c r="J32" s="522"/>
      <c r="K32" s="522">
        <f ca="1">IF($A$27="  ONORARI A CARICO DELL'AGGIUDICATARIO DI CIASCUN LOTTO",+'DM 227'!I63,0)</f>
        <v>0</v>
      </c>
      <c r="L32" s="522"/>
      <c r="M32" s="522">
        <f ca="1">IF($A$27="  ONORARI A CARICO DELL'AGGIUDICATARIO DI CIASCUN LOTTO",+'DM 227'!J63,0)</f>
        <v>0</v>
      </c>
      <c r="N32" s="522"/>
      <c r="O32" s="376">
        <f ca="1">IF($A$27="  ONORARI A CARICO DELL'AGGIUDICATARIO DI CIASCUN LOTTO",+'DM 227'!L63,0)</f>
        <v>0</v>
      </c>
    </row>
    <row r="33" spans="1:15">
      <c r="A33" s="528" t="s">
        <v>289</v>
      </c>
      <c r="B33" s="529"/>
      <c r="C33" s="529"/>
      <c r="D33" s="529"/>
      <c r="E33" s="522">
        <f ca="1">IF($A$27="  ONORARI A CARICO DELL'AGGIUDICATARIO DI CIASCUN LOTTO",+'DM 227'!F64,0)</f>
        <v>10</v>
      </c>
      <c r="F33" s="522"/>
      <c r="G33" s="522">
        <f ca="1">IF($A$27="  ONORARI A CARICO DELL'AGGIUDICATARIO DI CIASCUN LOTTO",+'DM 227'!G64,0)</f>
        <v>0</v>
      </c>
      <c r="H33" s="522"/>
      <c r="I33" s="522">
        <f ca="1">IF($A$27="  ONORARI A CARICO DELL'AGGIUDICATARIO DI CIASCUN LOTTO",+'DM 227'!H64,0)</f>
        <v>0</v>
      </c>
      <c r="J33" s="522"/>
      <c r="K33" s="522">
        <f ca="1">IF($A$27="  ONORARI A CARICO DELL'AGGIUDICATARIO DI CIASCUN LOTTO",+'DM 227'!I64,0)</f>
        <v>0</v>
      </c>
      <c r="L33" s="522"/>
      <c r="M33" s="522">
        <f ca="1">IF($A$27="  ONORARI A CARICO DELL'AGGIUDICATARIO DI CIASCUN LOTTO",+'DM 227'!J64,0)</f>
        <v>0</v>
      </c>
      <c r="N33" s="522"/>
      <c r="O33" s="376">
        <f ca="1">IF($A$27="  ONORARI A CARICO DELL'AGGIUDICATARIO DI CIASCUN LOTTO",+'DM 227'!L64,0)</f>
        <v>0</v>
      </c>
    </row>
    <row r="34" spans="1:15">
      <c r="A34" s="530" t="s">
        <v>165</v>
      </c>
      <c r="B34" s="531"/>
      <c r="C34" s="531"/>
      <c r="D34" s="531"/>
      <c r="E34" s="523">
        <f ca="1">+E30</f>
        <v>500</v>
      </c>
      <c r="F34" s="523"/>
      <c r="G34" s="523">
        <f ca="1">+G30</f>
        <v>500</v>
      </c>
      <c r="H34" s="523"/>
      <c r="I34" s="523">
        <f ca="1">+I30</f>
        <v>0</v>
      </c>
      <c r="J34" s="523"/>
      <c r="K34" s="523">
        <f ca="1">+K30</f>
        <v>0</v>
      </c>
      <c r="L34" s="523"/>
      <c r="M34" s="523">
        <f ca="1">+M30</f>
        <v>0</v>
      </c>
      <c r="N34" s="523"/>
      <c r="O34" s="378">
        <f ca="1">+O30+O31</f>
        <v>0</v>
      </c>
    </row>
    <row r="35" spans="1:15">
      <c r="A35" s="530" t="s">
        <v>290</v>
      </c>
      <c r="B35" s="531"/>
      <c r="C35" s="531"/>
      <c r="D35" s="531"/>
      <c r="E35" s="523">
        <f ca="1">+E31+E32+E33</f>
        <v>160</v>
      </c>
      <c r="F35" s="523"/>
      <c r="G35" s="523">
        <f ca="1">+G31+G32+G33</f>
        <v>50</v>
      </c>
      <c r="H35" s="523"/>
      <c r="I35" s="523">
        <f ca="1">+I31+I32+I33</f>
        <v>0</v>
      </c>
      <c r="J35" s="523"/>
      <c r="K35" s="523">
        <f ca="1">+K31+K32+K33</f>
        <v>0</v>
      </c>
      <c r="L35" s="523"/>
      <c r="M35" s="523">
        <f ca="1">+M31+M32+M33</f>
        <v>0</v>
      </c>
      <c r="N35" s="523"/>
      <c r="O35" s="378">
        <f ca="1">+O32+O33</f>
        <v>0</v>
      </c>
    </row>
    <row r="36" spans="1:15">
      <c r="A36" s="535" t="str">
        <f ca="1">IF(INSERIMENTO_DATI!$D$7="si","","Pescara, "&amp;TEXT(TODAY(),"g/m/aaaa"))</f>
        <v>Pescara, 27/10/2017</v>
      </c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178"/>
    </row>
    <row r="37" spans="1:15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  <row r="38" spans="1:1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</row>
  </sheetData>
  <sheetProtection selectLockedCells="1"/>
  <mergeCells count="77">
    <mergeCell ref="M32:N32"/>
    <mergeCell ref="M34:N34"/>
    <mergeCell ref="K15:L15"/>
    <mergeCell ref="M15:N15"/>
    <mergeCell ref="K22:L22"/>
    <mergeCell ref="M22:N22"/>
    <mergeCell ref="A1:O1"/>
    <mergeCell ref="A3:O3"/>
    <mergeCell ref="A5:D5"/>
    <mergeCell ref="A6:D6"/>
    <mergeCell ref="A8:D8"/>
    <mergeCell ref="A7:D7"/>
    <mergeCell ref="A13:O13"/>
    <mergeCell ref="A17:D17"/>
    <mergeCell ref="A16:D16"/>
    <mergeCell ref="A19:D19"/>
    <mergeCell ref="A15:D15"/>
    <mergeCell ref="E15:F15"/>
    <mergeCell ref="G15:H15"/>
    <mergeCell ref="I15:J15"/>
    <mergeCell ref="A22:D22"/>
    <mergeCell ref="A23:C23"/>
    <mergeCell ref="K30:L30"/>
    <mergeCell ref="A20:D20"/>
    <mergeCell ref="A21:D21"/>
    <mergeCell ref="E23:F23"/>
    <mergeCell ref="G29:H29"/>
    <mergeCell ref="I30:J30"/>
    <mergeCell ref="I29:J29"/>
    <mergeCell ref="I22:J22"/>
    <mergeCell ref="A29:D29"/>
    <mergeCell ref="E29:F29"/>
    <mergeCell ref="A18:D18"/>
    <mergeCell ref="M31:N31"/>
    <mergeCell ref="M33:N33"/>
    <mergeCell ref="A24:C24"/>
    <mergeCell ref="I33:J33"/>
    <mergeCell ref="A32:D32"/>
    <mergeCell ref="A33:D33"/>
    <mergeCell ref="M29:N29"/>
    <mergeCell ref="A36:N36"/>
    <mergeCell ref="K34:L34"/>
    <mergeCell ref="E34:F34"/>
    <mergeCell ref="I34:J34"/>
    <mergeCell ref="G34:H34"/>
    <mergeCell ref="E30:F30"/>
    <mergeCell ref="A35:D35"/>
    <mergeCell ref="G30:H30"/>
    <mergeCell ref="M30:N30"/>
    <mergeCell ref="I35:J35"/>
    <mergeCell ref="E33:F33"/>
    <mergeCell ref="I32:J32"/>
    <mergeCell ref="K31:L31"/>
    <mergeCell ref="E32:F32"/>
    <mergeCell ref="E22:F22"/>
    <mergeCell ref="G22:H22"/>
    <mergeCell ref="K32:L32"/>
    <mergeCell ref="A9:D9"/>
    <mergeCell ref="A10:D10"/>
    <mergeCell ref="A30:D30"/>
    <mergeCell ref="A31:D31"/>
    <mergeCell ref="I31:J31"/>
    <mergeCell ref="A34:D34"/>
    <mergeCell ref="A11:C11"/>
    <mergeCell ref="G32:H32"/>
    <mergeCell ref="G33:H33"/>
    <mergeCell ref="E31:F31"/>
    <mergeCell ref="A25:C25"/>
    <mergeCell ref="A28:D28"/>
    <mergeCell ref="A27:O27"/>
    <mergeCell ref="K33:L33"/>
    <mergeCell ref="G31:H31"/>
    <mergeCell ref="G35:H35"/>
    <mergeCell ref="K35:L35"/>
    <mergeCell ref="M35:N35"/>
    <mergeCell ref="E35:F35"/>
    <mergeCell ref="K29:L29"/>
  </mergeCells>
  <phoneticPr fontId="2" type="noConversion"/>
  <pageMargins left="0.43307086614173229" right="0.2755905511811023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K59"/>
  <sheetViews>
    <sheetView showGridLines="0" topLeftCell="A13" zoomScale="130" zoomScaleNormal="130" workbookViewId="0">
      <selection activeCell="G47" sqref="G47"/>
    </sheetView>
  </sheetViews>
  <sheetFormatPr defaultRowHeight="12.75"/>
  <cols>
    <col min="1" max="1" width="8.85546875" customWidth="1"/>
    <col min="2" max="2" width="9.7109375" customWidth="1"/>
    <col min="3" max="3" width="11" bestFit="1" customWidth="1"/>
    <col min="4" max="4" width="9.5703125" customWidth="1"/>
    <col min="5" max="5" width="9.28515625" bestFit="1" customWidth="1"/>
    <col min="6" max="6" width="9.5703125" customWidth="1"/>
    <col min="7" max="7" width="10.140625" bestFit="1" customWidth="1"/>
    <col min="8" max="8" width="11.85546875" bestFit="1" customWidth="1"/>
    <col min="9" max="9" width="15.85546875" customWidth="1"/>
    <col min="10" max="10" width="9.42578125" customWidth="1"/>
  </cols>
  <sheetData>
    <row r="1" spans="1:10" ht="13.9" customHeight="1">
      <c r="A1" s="565" t="s">
        <v>72</v>
      </c>
      <c r="B1" s="565"/>
      <c r="C1" s="565"/>
      <c r="D1" s="565"/>
      <c r="E1" s="565"/>
      <c r="F1" s="565"/>
      <c r="G1" s="565"/>
      <c r="H1" s="565"/>
      <c r="I1" s="565"/>
      <c r="J1" s="143"/>
    </row>
    <row r="2" spans="1:10" ht="6.9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</row>
    <row r="3" spans="1:10">
      <c r="A3" s="566" t="s">
        <v>131</v>
      </c>
      <c r="B3" s="566"/>
      <c r="C3" s="566"/>
      <c r="D3" s="566"/>
      <c r="E3" s="566"/>
      <c r="F3" s="566"/>
      <c r="G3" s="566"/>
      <c r="H3" s="566"/>
      <c r="I3" s="566"/>
      <c r="J3" s="107"/>
    </row>
    <row r="4" spans="1:10" ht="6.95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>
      <c r="A5" s="564" t="str">
        <f>"Il Giudice del procedimento di espropriazione immobiliare iscritto in R.G.Es. al N. "&amp;INSERIMENTO_DATI!$C$2&amp; " promosso da:"</f>
        <v>Il Giudice del procedimento di espropriazione immobiliare iscritto in R.G.Es. al N. 37/2011 promosso da:</v>
      </c>
      <c r="B5" s="564"/>
      <c r="C5" s="564"/>
      <c r="D5" s="564"/>
      <c r="E5" s="564"/>
      <c r="F5" s="564"/>
      <c r="G5" s="564"/>
      <c r="H5" s="564"/>
      <c r="I5" s="564"/>
    </row>
    <row r="6" spans="1:10">
      <c r="A6" s="569" t="str">
        <f>INSERIMENTO_DATI!$C$3</f>
        <v>UNICREDIT CREDIT MANAGEMENT BANK s.p.a.</v>
      </c>
      <c r="B6" s="569"/>
      <c r="C6" s="569"/>
      <c r="D6" s="569"/>
      <c r="E6" s="569"/>
      <c r="F6" s="569"/>
      <c r="G6" s="569"/>
      <c r="H6" s="569"/>
      <c r="I6" s="569"/>
    </row>
    <row r="7" spans="1:10">
      <c r="A7" s="568" t="str">
        <f>"nei confronti di: "&amp;INSERIMENTO_DATI!$C$4&amp;";"</f>
        <v>nei confronti di: SPINACI;</v>
      </c>
      <c r="B7" s="568"/>
      <c r="C7" s="568"/>
      <c r="D7" s="568"/>
      <c r="E7" s="568"/>
      <c r="F7" s="568"/>
      <c r="G7" s="568"/>
      <c r="H7" s="568"/>
      <c r="I7" s="568"/>
      <c r="J7" s="106"/>
    </row>
    <row r="8" spans="1:10">
      <c r="A8" s="564" t="str">
        <f>"letta l’istanza di liquidazione del compenso sottoscritta in data "&amp;TEXT(INSERIMENTO_DATI!$C$1,"g/m/aa")&amp;" da: "&amp;INSERIMENTO_DATI!$C$5&amp;" "&amp;INSERIMENTO_DATI!$C$6&amp;";"</f>
        <v>letta l’istanza di liquidazione del compenso sottoscritta in data 28/3/17 da: avv. PILONE GIULIANO;</v>
      </c>
      <c r="B8" s="564"/>
      <c r="C8" s="564"/>
      <c r="D8" s="564"/>
      <c r="E8" s="564"/>
      <c r="F8" s="564"/>
      <c r="G8" s="564"/>
      <c r="H8" s="564"/>
      <c r="I8" s="564"/>
      <c r="J8" s="155"/>
    </row>
    <row r="9" spans="1:10">
      <c r="A9" s="568" t="str">
        <f>"rilevato che l’istante è stato delegato ai sensi dell’art. 591 bis c.p.c. al compimento di tutte le attività ivi previste ed è stato"</f>
        <v>rilevato che l’istante è stato delegato ai sensi dell’art. 591 bis c.p.c. al compimento di tutte le attività ivi previste ed è stato</v>
      </c>
      <c r="B9" s="568"/>
      <c r="C9" s="568"/>
      <c r="D9" s="568"/>
      <c r="E9" s="568"/>
      <c r="F9" s="568"/>
      <c r="G9" s="568"/>
      <c r="H9" s="568"/>
      <c r="I9" s="568"/>
      <c r="J9" s="103"/>
    </row>
    <row r="10" spans="1:10">
      <c r="A10" s="568" t="str">
        <f>"nominato custode dei beni pignorati con provvedimento in data "&amp;TEXT(INSERIMENTO_DATI!$I$1,"g/m/aa")&amp;";"</f>
        <v>nominato custode dei beni pignorati con provvedimento in data 16/11/10;</v>
      </c>
      <c r="B10" s="568"/>
      <c r="C10" s="568"/>
      <c r="D10" s="568"/>
      <c r="E10" s="568"/>
      <c r="F10" s="568"/>
      <c r="G10" s="568"/>
      <c r="H10" s="568"/>
      <c r="I10" s="568"/>
    </row>
    <row r="11" spans="1:10">
      <c r="A11" s="568" t="str">
        <f>"considerato che l’onorario per lo svolgimento delle attività delegate deve essere liquidato secondo i criteri di cui al D.M."</f>
        <v>considerato che l’onorario per lo svolgimento delle attività delegate deve essere liquidato secondo i criteri di cui al D.M.</v>
      </c>
      <c r="B11" s="568"/>
      <c r="C11" s="568"/>
      <c r="D11" s="568"/>
      <c r="E11" s="568"/>
      <c r="F11" s="568"/>
      <c r="G11" s="568"/>
      <c r="H11" s="568"/>
      <c r="I11" s="568"/>
      <c r="J11" s="142"/>
    </row>
    <row r="12" spans="1:10">
      <c r="A12" s="568" t="str">
        <f>"227/15  mentre il compenso per lo svolgimento delle attività di custodia deve essere liquidato in base ai criteri previsti dal"</f>
        <v>227/15  mentre il compenso per lo svolgimento delle attività di custodia deve essere liquidato in base ai criteri previsti dal</v>
      </c>
      <c r="B12" s="568"/>
      <c r="C12" s="568"/>
      <c r="D12" s="568"/>
      <c r="E12" s="568"/>
      <c r="F12" s="568"/>
      <c r="G12" s="568"/>
      <c r="H12" s="568"/>
      <c r="I12" s="568"/>
      <c r="J12" s="142"/>
    </row>
    <row r="13" spans="1:10">
      <c r="A13" s="568" t="str">
        <f>"D.M. 80/09;"</f>
        <v>D.M. 80/09;</v>
      </c>
      <c r="B13" s="568"/>
      <c r="C13" s="568"/>
      <c r="D13" s="568"/>
      <c r="E13" s="568"/>
      <c r="F13" s="568"/>
      <c r="G13" s="568"/>
      <c r="H13" s="568"/>
      <c r="I13" s="568"/>
      <c r="J13" s="142"/>
    </row>
    <row r="14" spans="1:10">
      <c r="A14" s="564" t="str">
        <f>IF(INSERIMENTO_DATI!$D$7="si","considerato che l'incarico ha avuto ad oggetto "&amp;INSERIMENTO_DATI!$C$9&amp;" lotto/i, i cui ultimi prezzi base di vendita sono i seguenti:","considerato che l'incarico ha avuto ad oggetto "&amp;INSERIMENTO_DATI!$C$9&amp;" lotti, la cui vendita ha consentito il ricavato seguente:")</f>
        <v>considerato che l'incarico ha avuto ad oggetto 2 lotti, la cui vendita ha consentito il ricavato seguente:</v>
      </c>
      <c r="B14" s="564"/>
      <c r="C14" s="564"/>
      <c r="D14" s="564"/>
      <c r="E14" s="564"/>
      <c r="F14" s="564"/>
      <c r="G14" s="564"/>
      <c r="H14" s="564"/>
      <c r="I14" s="564"/>
      <c r="J14" s="103"/>
    </row>
    <row r="15" spans="1:10">
      <c r="A15" s="567" t="s">
        <v>95</v>
      </c>
      <c r="B15" s="567"/>
      <c r="C15" s="567" t="str">
        <f>IF(INSERIMENTO_DATI!$E$11&gt;0,"lotto 2"," ")</f>
        <v>lotto 2</v>
      </c>
      <c r="D15" s="567"/>
      <c r="E15" s="567" t="str">
        <f>IF(INSERIMENTO_DATI!$G$11&gt;0,"lotto 3"," ")</f>
        <v xml:space="preserve"> </v>
      </c>
      <c r="F15" s="567"/>
      <c r="G15" s="567" t="str">
        <f>IF(INSERIMENTO_DATI!$I$11&gt;0,"lotto 4"," ")</f>
        <v xml:space="preserve"> </v>
      </c>
      <c r="H15" s="567"/>
      <c r="I15" s="162" t="str">
        <f>IF(INSERIMENTO_DATI!$K$11&gt;0,"lotto 5"," ")</f>
        <v xml:space="preserve"> </v>
      </c>
      <c r="J15" s="143"/>
    </row>
    <row r="16" spans="1:10" s="104" customFormat="1">
      <c r="A16" s="571">
        <f>INSERIMENTO_DATI!$C$11</f>
        <v>3639.66</v>
      </c>
      <c r="B16" s="571"/>
      <c r="C16" s="571">
        <f>IF(INSERIMENTO_DATI!$E$11&gt;0,INSERIMENTO_DATI!$E$11," ")</f>
        <v>71250</v>
      </c>
      <c r="D16" s="571"/>
      <c r="E16" s="571" t="str">
        <f>IF(INSERIMENTO_DATI!$G$11&gt;0,INSERIMENTO_DATI!$G$11," ")</f>
        <v xml:space="preserve"> </v>
      </c>
      <c r="F16" s="571"/>
      <c r="G16" s="571" t="str">
        <f>IF(INSERIMENTO_DATI!$I$11&gt;0,INSERIMENTO_DATI!$I$11," ")</f>
        <v xml:space="preserve"> </v>
      </c>
      <c r="H16" s="571"/>
      <c r="I16" s="172" t="str">
        <f>IF(INSERIMENTO_DATI!$K$11&gt;0,INSERIMENTO_DATI!$K$11," ")</f>
        <v xml:space="preserve"> </v>
      </c>
      <c r="J16" s="154"/>
    </row>
    <row r="17" spans="1:11">
      <c r="A17" s="570" t="str">
        <f>IF(AND(INSERIMENTO_DATI!$D$7="si",INSERIMENTO_DATI!$I$7="prima"),elenchi!$A$19,IF(AND(INSERIMENTO_DATI!$D$7="si",INSERIMENTO_DATI!$I$7="dopo"),elenchi!$A$20,elenchi!$A$21))</f>
        <v>considerato che i dati rilevanti ai fini della liquidazione sono i seguenti:</v>
      </c>
      <c r="B17" s="570"/>
      <c r="C17" s="570"/>
      <c r="D17" s="570"/>
      <c r="E17" s="570"/>
      <c r="F17" s="570"/>
      <c r="G17" s="570"/>
      <c r="H17" s="570"/>
      <c r="I17" s="570"/>
      <c r="J17" s="158"/>
    </row>
    <row r="18" spans="1:11" ht="13.15" customHeight="1">
      <c r="A18" s="572" t="s">
        <v>89</v>
      </c>
      <c r="B18" s="572"/>
      <c r="C18" s="174">
        <f>INSERIMENTO_DATI!$A$25</f>
        <v>2</v>
      </c>
      <c r="D18" s="176" t="s">
        <v>90</v>
      </c>
      <c r="E18" s="583" t="str">
        <f>IF(INSERIMENTO_DATI!$N$23&gt;0,INSERIMENTO_DATI!$N$23,"nulla")</f>
        <v>nulla</v>
      </c>
      <c r="F18" s="584"/>
      <c r="G18" s="585" t="s">
        <v>127</v>
      </c>
      <c r="H18" s="572"/>
      <c r="I18" s="186">
        <f>INSERIMENTO_DATI!$L$27</f>
        <v>5</v>
      </c>
      <c r="J18" s="108"/>
    </row>
    <row r="19" spans="1:11">
      <c r="A19" s="586" t="str">
        <f>"considerato che dagli atti risulta la seguente situazione dei beni:"</f>
        <v>considerato che dagli atti risulta la seguente situazione dei beni:</v>
      </c>
      <c r="B19" s="586"/>
      <c r="C19" s="586"/>
      <c r="D19" s="586"/>
      <c r="E19" s="586"/>
      <c r="F19" s="586"/>
      <c r="G19" s="586"/>
      <c r="H19" s="586"/>
      <c r="I19" s="586"/>
      <c r="J19" s="142"/>
    </row>
    <row r="20" spans="1:11">
      <c r="A20" s="568" t="s">
        <v>95</v>
      </c>
      <c r="B20" s="568"/>
      <c r="C20" s="568" t="str">
        <f>IF(INSERIMENTO_DATI!$E$11&gt;0,"lotto 2"," ")</f>
        <v>lotto 2</v>
      </c>
      <c r="D20" s="568"/>
      <c r="E20" s="568" t="str">
        <f>IF(INSERIMENTO_DATI!$G$11&gt;0,"lotto 3"," ")</f>
        <v xml:space="preserve"> </v>
      </c>
      <c r="F20" s="568"/>
      <c r="G20" s="568" t="str">
        <f>IF(INSERIMENTO_DATI!$I$11&gt;0,"lotto 4"," ")</f>
        <v xml:space="preserve"> </v>
      </c>
      <c r="H20" s="568"/>
      <c r="I20" s="163" t="str">
        <f>IF(INSERIMENTO_DATI!$K$11&gt;0,"lotto 5"," ")</f>
        <v xml:space="preserve"> </v>
      </c>
      <c r="J20" s="142"/>
    </row>
    <row r="21" spans="1:11" s="104" customFormat="1">
      <c r="A21" s="575" t="str">
        <f>IF(INSERIMENTO_DATI!$C$15&gt;0,INSERIMENTO_DATI!$C$15," ")</f>
        <v xml:space="preserve"> </v>
      </c>
      <c r="B21" s="575"/>
      <c r="C21" s="575" t="str">
        <f>IF(AND(INSERIMENTO_DATI!$E$11&gt;0,INSERIMENTO_DATI!$E$15&gt;0),INSERIMENTO_DATI!$E$15," ")</f>
        <v xml:space="preserve"> </v>
      </c>
      <c r="D21" s="575"/>
      <c r="E21" s="575" t="str">
        <f>IF(AND(INSERIMENTO_DATI!$G$11&gt;0,INSERIMENTO_DATI!$G$15&gt;0),INSERIMENTO_DATI!$G$15," ")</f>
        <v xml:space="preserve"> </v>
      </c>
      <c r="F21" s="575"/>
      <c r="G21" s="575" t="str">
        <f>IF(AND(INSERIMENTO_DATI!$I$11&gt;0,INSERIMENTO_DATI!$I$15&gt;0),INSERIMENTO_DATI!$I$15," ")</f>
        <v xml:space="preserve"> </v>
      </c>
      <c r="H21" s="575"/>
      <c r="I21" s="173" t="str">
        <f>IF(AND(INSERIMENTO_DATI!$K$11&gt;0,INSERIMENTO_DATI!$K$15&gt;0),INSERIMENTO_DATI!$K$15," ")</f>
        <v xml:space="preserve"> </v>
      </c>
      <c r="J21" s="156"/>
    </row>
    <row r="22" spans="1:11">
      <c r="A22" s="575" t="str">
        <f>"rilevato, in ordine al compimento di attività di cui all'art. 3 D.M. 80/2009, quanto segue:"</f>
        <v>rilevato, in ordine al compimento di attività di cui all'art. 3 D.M. 80/2009, quanto segue:</v>
      </c>
      <c r="B22" s="575"/>
      <c r="C22" s="575"/>
      <c r="D22" s="575"/>
      <c r="E22" s="575"/>
      <c r="F22" s="575"/>
      <c r="G22" s="575"/>
      <c r="H22" s="575"/>
      <c r="I22" s="575"/>
      <c r="J22" s="156"/>
    </row>
    <row r="23" spans="1:11" s="104" customFormat="1">
      <c r="A23" s="574" t="str">
        <f>IF(INSERIMENTO_DATI!$C$21=0,"lotto 1: nessuna","lotto 1: si"&amp;" "&amp;"("&amp;INSERIMENTO_DATI!$C$21&amp;")")</f>
        <v>lotto 1: nessuna</v>
      </c>
      <c r="B23" s="574"/>
      <c r="C23" s="574" t="str">
        <f>IF(AND(INSERIMENTO_DATI!$E$11&gt;0,INSERIMENTO_DATI!$E$21=0),"lotto 2: nessuna",IF(AND(INSERIMENTO_DATI!$E$11&gt;0,INSERIMENTO_DATI!$E$21&gt;0),"lotto 2: si"&amp;" "&amp;"("&amp;INSERIMENTO_DATI!$E$21&amp;")",""))</f>
        <v>lotto 2: nessuna</v>
      </c>
      <c r="D23" s="574"/>
      <c r="E23" s="574" t="str">
        <f>IF(AND(INSERIMENTO_DATI!$G$11&gt;0,INSERIMENTO_DATI!$G$21=0),"lotto 3: nessuna",IF(AND(INSERIMENTO_DATI!$G$11&gt;0,INSERIMENTO_DATI!$G$21&gt;0),"lotto 3: si"&amp;" "&amp;"("&amp;INSERIMENTO_DATI!$G$21&amp;")",""))</f>
        <v/>
      </c>
      <c r="F23" s="574"/>
      <c r="G23" s="574" t="str">
        <f>IF(AND(INSERIMENTO_DATI!$I$11&gt;0,INSERIMENTO_DATI!$I$21=0),"lotto 4: nessuna",IF(AND(INSERIMENTO_DATI!$I$11&gt;0,INSERIMENTO_DATI!$I$21&gt;0),"lotto 4: si"&amp;" "&amp;"("&amp;INSERIMENTO_DATI!$I$21&amp;")",""))</f>
        <v/>
      </c>
      <c r="H23" s="574"/>
      <c r="I23" s="170" t="str">
        <f>IF(AND(INSERIMENTO_DATI!$K$11&gt;0,INSERIMENTO_DATI!$K$21=0),"lotto 5: nessuna",IF(AND(INSERIMENTO_DATI!$K$11&gt;0,INSERIMENTO_DATI!$K$21&gt;0),"lotto 5: si"&amp;" "&amp;"("&amp;INSERIMENTO_DATI!$K$21&amp;")",""))</f>
        <v/>
      </c>
      <c r="J23" s="155"/>
      <c r="K23" s="171"/>
    </row>
    <row r="24" spans="1:11">
      <c r="A24" s="587" t="str">
        <f>IF(INSERIMENTO_DATI!$D$7="si","rilevato che non vi sono somme da distribuire;",IF(AND(INSERIMENTO_DATI!$D$31=0,INSERIMENTO_DATI!$F$31=0),"rilevato che vanno distribuiti "&amp;TEXT(INSERIMENTO_DATI!$K$31,"€ #.##0,00")&amp;";",IF(AND(INSERIMENTO_DATI!$D$31&lt;&gt;0,INSERIMENTO_DATI!$F$31=0),"rilevato che vanno distribuiti "&amp;TEXT(INSERIMENTO_DATI!$K$31,"€ #.##0,00")&amp;", di cui "&amp;TEXT(INSERIMENTO_DATI!$D$31,"€ #.##0,00 ")&amp;"rivenienti da conversione del pignoramento non eseguita;",IF(AND(INSERIMENTO_DATI!$D$31=0,INSERIMENTO_DATI!$F$31&gt;0),"rilevato che vanno distribuiti "&amp;TEXT(INSERIMENTO_DATI!$K$31,"€ #.##0,00")&amp;", di cui "&amp;TEXT(INSERIMENTO_DATI!$F$31,"€ #.##0,00 ")&amp;"rivenienti da decadenza di aggiudicatari;",IF(AND(INSERIMENTO_DATI!$D$31&gt;0,INSERIMENTO_DATI!$F$31&gt;0),"rilevato che vanno distribuiti "&amp;TEXT(INSERIMENTO_DATI!$K$31,"€ #.##0,00")&amp;", di cui "&amp;TEXT(INSERIMENTO_DATI!$I$31,"€ #.##0,00 ")&amp;"rivenienti da conversione e decadenza di aggiudicatari;")))))</f>
        <v>rilevato che vanno distribuiti € 74.889,66;</v>
      </c>
      <c r="B24" s="587"/>
      <c r="C24" s="587"/>
      <c r="D24" s="587"/>
      <c r="E24" s="587"/>
      <c r="F24" s="587"/>
      <c r="G24" s="587"/>
      <c r="H24" s="587"/>
      <c r="I24" s="587"/>
      <c r="J24" s="157"/>
      <c r="K24" s="103"/>
    </row>
    <row r="25" spans="1:11">
      <c r="A25" s="564" t="str">
        <f>"considerato che le spese non imponibili ammontano ad "&amp;TEXT(INSERIMENTO_DATI!$H$33,"€ #.##0,00")&amp;"; che sono documentate spese imponibili per "&amp;TEXT(INSERIMENTO_DATI!$M$33,"€ #.##0,00")</f>
        <v>considerato che le spese non imponibili ammontano ad € 11.865,00; che sono documentate spese imponibili per € 0,00</v>
      </c>
      <c r="B25" s="564"/>
      <c r="C25" s="564"/>
      <c r="D25" s="564"/>
      <c r="E25" s="564"/>
      <c r="F25" s="564"/>
      <c r="G25" s="564"/>
      <c r="H25" s="564"/>
      <c r="I25" s="564"/>
      <c r="K25" s="144"/>
    </row>
    <row r="26" spans="1:11">
      <c r="A26" s="564" t="str">
        <f>"e che sono stati versati fondi spese per complessivi "&amp;TEXT(INSERIMENTO_DATI!$H$34,"€ #.##0,00")&amp;";"</f>
        <v>e che sono stati versati fondi spese per complessivi € 12.000,00;</v>
      </c>
      <c r="B26" s="564"/>
      <c r="C26" s="564"/>
      <c r="D26" s="564"/>
      <c r="E26" s="564"/>
      <c r="F26" s="564"/>
      <c r="G26" s="564"/>
      <c r="H26" s="564"/>
      <c r="I26" s="564"/>
    </row>
    <row r="27" spans="1:11">
      <c r="A27" s="564" t="str">
        <f>"tenuto conto dell'attività effettivamente compiuta e delle difficoltà connesse all'espletamento dell'incarico;"</f>
        <v>tenuto conto dell'attività effettivamente compiuta e delle difficoltà connesse all'espletamento dell'incarico;</v>
      </c>
      <c r="B27" s="564"/>
      <c r="C27" s="564"/>
      <c r="D27" s="564"/>
      <c r="E27" s="564"/>
      <c r="F27" s="564"/>
      <c r="G27" s="564"/>
      <c r="H27" s="564"/>
      <c r="I27" s="564"/>
    </row>
    <row r="28" spans="1:11">
      <c r="A28" s="582" t="s">
        <v>132</v>
      </c>
      <c r="B28" s="582"/>
      <c r="C28" s="582"/>
      <c r="D28" s="582"/>
      <c r="E28" s="582"/>
      <c r="F28" s="582"/>
      <c r="G28" s="582"/>
      <c r="H28" s="582"/>
      <c r="I28" s="582"/>
    </row>
    <row r="29" spans="1:11">
      <c r="A29" s="558" t="str">
        <f>"in favore di "&amp;INSERIMENTO_DATI!$C$5&amp;" "&amp;INSERIMENTO_DATI!$C$6&amp;" i seguenti onorari e compensi complessivi, determinati secondo i conteggi"</f>
        <v>in favore di avv. PILONE GIULIANO i seguenti onorari e compensi complessivi, determinati secondo i conteggi</v>
      </c>
      <c r="B29" s="558"/>
      <c r="C29" s="558"/>
      <c r="D29" s="558"/>
      <c r="E29" s="558"/>
      <c r="F29" s="558"/>
      <c r="G29" s="558"/>
      <c r="H29" s="558"/>
      <c r="I29" s="558"/>
    </row>
    <row r="30" spans="1:11">
      <c r="A30" s="559" t="str">
        <f>"esposti nel foglio allegato:"</f>
        <v>esposti nel foglio allegato:</v>
      </c>
      <c r="B30" s="559"/>
      <c r="C30" s="559"/>
      <c r="D30" s="559"/>
      <c r="E30" s="559"/>
      <c r="F30" s="559"/>
      <c r="G30" s="559"/>
      <c r="H30" s="559"/>
      <c r="I30" s="559"/>
    </row>
    <row r="31" spans="1:11">
      <c r="A31" s="579" t="s">
        <v>159</v>
      </c>
      <c r="B31" s="579"/>
      <c r="C31" s="579"/>
      <c r="D31" s="579"/>
      <c r="E31" s="579"/>
      <c r="F31" s="579"/>
      <c r="G31" s="579"/>
      <c r="H31" s="579"/>
      <c r="I31" s="579"/>
    </row>
    <row r="32" spans="1:11" ht="6.95" customHeight="1">
      <c r="A32" s="167"/>
      <c r="B32" s="167"/>
      <c r="C32" s="167"/>
      <c r="D32" s="167"/>
      <c r="E32" s="167"/>
      <c r="F32" s="167"/>
      <c r="G32" s="167"/>
      <c r="H32" s="167"/>
      <c r="I32" s="167"/>
    </row>
    <row r="33" spans="1:11">
      <c r="A33" s="560" t="s">
        <v>133</v>
      </c>
      <c r="B33" s="560"/>
      <c r="C33" s="560"/>
      <c r="D33" s="560"/>
      <c r="E33" s="557">
        <f>+CONTEGGIO!E5</f>
        <v>3000</v>
      </c>
      <c r="F33" s="557"/>
      <c r="G33" s="557"/>
    </row>
    <row r="34" spans="1:11">
      <c r="A34" s="562" t="s">
        <v>281</v>
      </c>
      <c r="B34" s="562"/>
      <c r="C34" s="562"/>
      <c r="D34" s="562"/>
      <c r="E34" s="557">
        <f>+CONTEGGIO!E6</f>
        <v>300</v>
      </c>
      <c r="F34" s="557"/>
      <c r="G34" s="557"/>
    </row>
    <row r="35" spans="1:11" ht="15.6" customHeight="1">
      <c r="A35" s="562" t="s">
        <v>282</v>
      </c>
      <c r="B35" s="562"/>
      <c r="C35" s="562"/>
      <c r="D35" s="562"/>
      <c r="E35" s="557">
        <f>+CONTEGGIO!E7</f>
        <v>0</v>
      </c>
      <c r="F35" s="557"/>
      <c r="G35" s="557"/>
    </row>
    <row r="36" spans="1:11">
      <c r="B36" s="317"/>
      <c r="C36" s="576" t="s">
        <v>134</v>
      </c>
      <c r="D36" s="576"/>
      <c r="E36" s="557">
        <f>+E33+E34+E35</f>
        <v>3300</v>
      </c>
      <c r="F36" s="557"/>
      <c r="G36" s="557"/>
    </row>
    <row r="37" spans="1:11">
      <c r="A37" s="317" t="s">
        <v>135</v>
      </c>
      <c r="B37" s="317"/>
      <c r="C37" s="164"/>
      <c r="D37" s="317"/>
      <c r="E37" s="557">
        <f>+CONTEGGIO!E23</f>
        <v>1316.25</v>
      </c>
      <c r="F37" s="557"/>
      <c r="G37" s="557"/>
    </row>
    <row r="38" spans="1:11">
      <c r="A38" s="317" t="s">
        <v>281</v>
      </c>
      <c r="B38" s="317"/>
      <c r="C38" s="317"/>
      <c r="D38" s="317"/>
      <c r="E38" s="557">
        <f>+CONTEGGIO!E24</f>
        <v>131.63</v>
      </c>
      <c r="F38" s="557"/>
      <c r="G38" s="557"/>
    </row>
    <row r="39" spans="1:11">
      <c r="A39" s="581" t="s">
        <v>134</v>
      </c>
      <c r="B39" s="581"/>
      <c r="C39" s="581"/>
      <c r="D39" s="581"/>
      <c r="E39" s="557">
        <f>+E38+E37</f>
        <v>1447.88</v>
      </c>
      <c r="F39" s="557"/>
      <c r="G39" s="557"/>
    </row>
    <row r="40" spans="1:11" ht="15">
      <c r="A40" s="556" t="s">
        <v>283</v>
      </c>
      <c r="B40" s="556"/>
      <c r="C40" s="556"/>
      <c r="D40" s="556"/>
      <c r="E40" s="563">
        <f>+E39+E36</f>
        <v>4747.88</v>
      </c>
      <c r="F40" s="563"/>
      <c r="G40" s="563"/>
    </row>
    <row r="41" spans="1:11">
      <c r="A41" s="580" t="s">
        <v>279</v>
      </c>
      <c r="B41" s="580"/>
      <c r="C41" s="166"/>
      <c r="D41" s="372">
        <f>+INSERIMENTO_DATI!C40</f>
        <v>0.04</v>
      </c>
      <c r="E41" s="557">
        <f>E40*D41</f>
        <v>189.92</v>
      </c>
      <c r="F41" s="557"/>
      <c r="G41" s="557"/>
    </row>
    <row r="42" spans="1:11">
      <c r="A42" s="410" t="s">
        <v>280</v>
      </c>
      <c r="B42" s="410"/>
      <c r="C42" s="410"/>
      <c r="D42" s="411"/>
      <c r="E42" s="561">
        <f>+E41+E40</f>
        <v>4937.8</v>
      </c>
      <c r="F42" s="561"/>
      <c r="G42" s="561"/>
    </row>
    <row r="43" spans="1:11">
      <c r="A43" s="317" t="s">
        <v>277</v>
      </c>
      <c r="B43" s="165"/>
      <c r="C43" s="164"/>
      <c r="D43" s="372">
        <f>+INSERIMENTO_DATI!C41</f>
        <v>0.22</v>
      </c>
      <c r="E43" s="439">
        <f>+E42*D43</f>
        <v>1086.32</v>
      </c>
      <c r="F43" s="439"/>
      <c r="G43" s="439"/>
      <c r="H43" s="428"/>
    </row>
    <row r="44" spans="1:11">
      <c r="A44" s="556" t="s">
        <v>284</v>
      </c>
      <c r="B44" s="556"/>
      <c r="C44" s="556"/>
      <c r="D44" s="556"/>
      <c r="E44" s="557">
        <f>+E40+E41+E43</f>
        <v>6024.12</v>
      </c>
      <c r="F44" s="557"/>
      <c r="G44" s="557"/>
      <c r="H44" s="234"/>
    </row>
    <row r="45" spans="1:11">
      <c r="A45" s="578" t="s">
        <v>278</v>
      </c>
      <c r="B45" s="578"/>
      <c r="C45" s="578"/>
      <c r="D45" s="578"/>
      <c r="E45" s="557">
        <f>+INSERIMENTO_DATI!H33</f>
        <v>11865</v>
      </c>
      <c r="F45" s="557"/>
      <c r="G45" s="557"/>
      <c r="H45" s="142"/>
      <c r="I45" s="142"/>
    </row>
    <row r="46" spans="1:11" ht="6.95" customHeight="1">
      <c r="A46" s="556"/>
      <c r="B46" s="556"/>
      <c r="C46" s="556"/>
      <c r="D46" s="556"/>
      <c r="E46" s="142"/>
      <c r="F46" s="142"/>
      <c r="H46" s="167"/>
      <c r="I46" s="167"/>
    </row>
    <row r="47" spans="1:11">
      <c r="A47" s="577" t="s">
        <v>313</v>
      </c>
      <c r="B47" s="577"/>
      <c r="C47" s="577"/>
      <c r="D47" s="577"/>
      <c r="E47" s="577"/>
      <c r="F47" s="577"/>
      <c r="G47" s="429">
        <f>+E40+E45</f>
        <v>16612.88</v>
      </c>
      <c r="H47" s="169" t="str">
        <f>IF(INSERIMENTO_DATI!$D$7="si","",IF(INSERIMENTO_DATI!$I$11&gt;0,"LOTTO 4"," "))</f>
        <v xml:space="preserve"> </v>
      </c>
      <c r="I47" s="162" t="str">
        <f>IF(INSERIMENTO_DATI!$D$7="si","",IF(INSERIMENTO_DATI!$K$11&gt;0,"LOTTO 5"," "))</f>
        <v xml:space="preserve"> </v>
      </c>
      <c r="K47" s="168"/>
    </row>
    <row r="48" spans="1:11">
      <c r="A48" s="385" t="str">
        <f ca="1">IF(INSERIMENTO_DATI!$D$7="si","Pescara, "&amp;TEXT(TODAY(),"g/m/aaaa")&amp;"                                                                                                                       Il G.E. (dott. F. Filocamo)","A CARICO DELL'AGGIUDICATARIO:")</f>
        <v>A CARICO DELL'AGGIUDICATARIO:</v>
      </c>
      <c r="B48" s="167"/>
      <c r="C48" s="142"/>
      <c r="D48" s="167"/>
      <c r="E48" s="381" t="str">
        <f>IF(INSERIMENTO_DATI!$D$7="si","",IF(INSERIMENTO_DATI!$G$11&gt;0,"LOTTO 3"," "))</f>
        <v xml:space="preserve"> </v>
      </c>
      <c r="F48" s="381" t="str">
        <f>IF(INSERIMENTO_DATI!$D$7="si","",IF(INSERIMENTO_DATI!$I$11&gt;0,"LOTTO 4"," "))</f>
        <v xml:space="preserve"> </v>
      </c>
      <c r="G48" s="381" t="str">
        <f>IF(INSERIMENTO_DATI!$D$7="si","",IF(INSERIMENTO_DATI!$K$11&gt;0,"LOTTO 5"," "))</f>
        <v xml:space="preserve"> </v>
      </c>
      <c r="H48" s="382" t="s">
        <v>291</v>
      </c>
      <c r="I48" s="185"/>
    </row>
    <row r="49" spans="1:9">
      <c r="A49" s="103"/>
      <c r="B49" s="143"/>
      <c r="C49" s="380" t="str">
        <f>IF(INSERIMENTO_DATI!$D$7="si","",IF(INSERIMENTO_DATI!$C$11&gt;0,"LOTTO 1"))</f>
        <v>LOTTO 1</v>
      </c>
      <c r="D49" s="381" t="str">
        <f>IF(INSERIMENTO_DATI!$D$7="si","",IF(INSERIMENTO_DATI!$E$11&gt;0,"LOTTO 2"," "))</f>
        <v>LOTTO 2</v>
      </c>
      <c r="E49" s="177">
        <f ca="1">+CONTEGGIO!I34</f>
        <v>0</v>
      </c>
      <c r="F49" s="177">
        <f ca="1">+CONTEGGIO!K34</f>
        <v>0</v>
      </c>
      <c r="G49" s="177">
        <f ca="1">+CONTEGGIO!M34</f>
        <v>0</v>
      </c>
      <c r="H49" s="177">
        <f ca="1">+CONTEGGIO!O30+CONTEGGIO!O31</f>
        <v>0</v>
      </c>
      <c r="I49" s="185" t="str">
        <f>IF(INSERIMENTO_DATI!$D$7="si","",IF(INSERIMENTO_DATI!$K$11&lt;=0,"",$I$48*0.15))</f>
        <v/>
      </c>
    </row>
    <row r="50" spans="1:9">
      <c r="A50" s="558" t="str">
        <f>IF(INSERIMENTO_DATI!$D$7="si","","onorari")</f>
        <v>onorari</v>
      </c>
      <c r="B50" s="558"/>
      <c r="C50" s="177">
        <f ca="1">+CONTEGGIO!E34</f>
        <v>500</v>
      </c>
      <c r="D50" s="177">
        <f ca="1">+CONTEGGIO!G34</f>
        <v>500</v>
      </c>
      <c r="E50" s="379">
        <f ca="1">+CONTEGGIO!I35</f>
        <v>0</v>
      </c>
      <c r="F50" s="379">
        <f ca="1">+CONTEGGIO!K35</f>
        <v>0</v>
      </c>
      <c r="G50" s="379">
        <f ca="1">+CONTEGGIO!M35</f>
        <v>0</v>
      </c>
      <c r="H50" s="379">
        <f ca="1">+CONTEGGIO!O32+CONTEGGIO!O33</f>
        <v>0</v>
      </c>
      <c r="I50" s="185" t="str">
        <f>IF(INSERIMENTO_DATI!$D$7="si","",IF(INSERIMENTO_DATI!$K$11&lt;=0,"",$I$48+$I$49))</f>
        <v/>
      </c>
    </row>
    <row r="51" spans="1:9">
      <c r="A51" s="103" t="str">
        <f>IF(INSERIMENTO_DATI!$D$7="si","","rimb. forf, spese RR II")</f>
        <v>rimb. forf, spese RR II</v>
      </c>
      <c r="B51" s="103"/>
      <c r="C51" s="379">
        <f ca="1">+CONTEGGIO!E35</f>
        <v>160</v>
      </c>
      <c r="D51" s="379">
        <f ca="1">+CONTEGGIO!G35</f>
        <v>50</v>
      </c>
      <c r="E51" s="177">
        <f t="shared" ref="C51:H52" ca="1" si="0">+E50+E49</f>
        <v>0</v>
      </c>
      <c r="F51" s="177">
        <f t="shared" ca="1" si="0"/>
        <v>0</v>
      </c>
      <c r="G51" s="177">
        <f t="shared" ca="1" si="0"/>
        <v>0</v>
      </c>
      <c r="H51" s="177">
        <f t="shared" ca="1" si="0"/>
        <v>0</v>
      </c>
      <c r="I51" s="185" t="str">
        <f>IF(INSERIMENTO_DATI!$D$7="si","",IF(INSERIMENTO_DATI!$K$11&lt;=0,"",IF(INSERIMENTO_DATI!$C$5="notaio",0,$I$50*0.04)))</f>
        <v/>
      </c>
    </row>
    <row r="52" spans="1:9">
      <c r="A52" s="573" t="str">
        <f>IF(INSERIMENTO_DATI!$D$7="si","","subtotale")</f>
        <v>subtotale</v>
      </c>
      <c r="B52" s="573"/>
      <c r="C52" s="177">
        <f t="shared" ca="1" si="0"/>
        <v>660</v>
      </c>
      <c r="D52" s="177">
        <f t="shared" ca="1" si="0"/>
        <v>550</v>
      </c>
      <c r="E52" s="177">
        <f ca="1">+E51*$B$53</f>
        <v>0</v>
      </c>
      <c r="F52" s="177">
        <f ca="1">+F51*$B$53</f>
        <v>0</v>
      </c>
      <c r="G52" s="177">
        <f ca="1">+G51*$B$53</f>
        <v>0</v>
      </c>
      <c r="H52" s="177">
        <f ca="1">+H51*$B$53</f>
        <v>0</v>
      </c>
      <c r="I52" s="185" t="str">
        <f>IF(INSERIMENTO_DATI!$D$7="si","",IF(INSERIMENTO_DATI!$K$11&lt;=0,"",($I$50+$I51)*0.2))</f>
        <v/>
      </c>
    </row>
    <row r="53" spans="1:9">
      <c r="A53" s="143" t="str">
        <f>IF(INSERIMENTO_DATI!$D$7="si","","CAP")</f>
        <v>CAP</v>
      </c>
      <c r="B53" s="383">
        <f>+INSERIMENTO_DATI!C40</f>
        <v>0.04</v>
      </c>
      <c r="C53" s="177">
        <f ca="1">+C52*$B$53</f>
        <v>26.4</v>
      </c>
      <c r="D53" s="177">
        <f ca="1">+D52*$B$53</f>
        <v>22</v>
      </c>
      <c r="E53" s="384">
        <f ca="1">(E51+E52)*$B$54</f>
        <v>0</v>
      </c>
      <c r="F53" s="384">
        <f ca="1">(F51+F52)*$B$54</f>
        <v>0</v>
      </c>
      <c r="G53" s="384">
        <f ca="1">(G51+G52)*$B$54</f>
        <v>0</v>
      </c>
      <c r="H53" s="384">
        <f ca="1">(H51+H52)*$B$54</f>
        <v>0</v>
      </c>
      <c r="I53" s="184" t="str">
        <f>IF(INSERIMENTO_DATI!$D$7="si","",IF(INSERIMENTO_DATI!$K$11&lt;=0,"",SUM(I50:I52)))</f>
        <v/>
      </c>
    </row>
    <row r="54" spans="1:9" ht="12" customHeight="1">
      <c r="A54" s="143" t="str">
        <f>IF(INSERIMENTO_DATI!$D$7="si","","IVA")</f>
        <v>IVA</v>
      </c>
      <c r="B54" s="383">
        <f>+INSERIMENTO_DATI!C41</f>
        <v>0.22</v>
      </c>
      <c r="C54" s="384">
        <f ca="1">(C52+C53)*$B$54</f>
        <v>151.01</v>
      </c>
      <c r="D54" s="384">
        <f ca="1">(D52+D53)*$B$54</f>
        <v>125.84</v>
      </c>
      <c r="E54" s="177">
        <f t="shared" ref="C54:H55" ca="1" si="1">+E51+E52+E53</f>
        <v>0</v>
      </c>
      <c r="F54" s="177">
        <f t="shared" ca="1" si="1"/>
        <v>0</v>
      </c>
      <c r="G54" s="177">
        <f t="shared" ca="1" si="1"/>
        <v>0</v>
      </c>
      <c r="H54" s="177">
        <f t="shared" ca="1" si="1"/>
        <v>0</v>
      </c>
    </row>
    <row r="55" spans="1:9" ht="6.95" customHeight="1">
      <c r="A55" s="573" t="str">
        <f>IF(INSERIMENTO_DATI!$D$7="si","","TOTALE")</f>
        <v>TOTALE</v>
      </c>
      <c r="B55" s="573"/>
      <c r="C55" s="177">
        <f t="shared" ca="1" si="1"/>
        <v>837.41</v>
      </c>
      <c r="D55" s="177">
        <f t="shared" ca="1" si="1"/>
        <v>697.84</v>
      </c>
    </row>
    <row r="56" spans="1:9">
      <c r="A56" s="103"/>
      <c r="C56" s="183"/>
      <c r="H56" s="366"/>
      <c r="I56" s="366"/>
    </row>
    <row r="57" spans="1:9">
      <c r="A57" s="103" t="str">
        <f>+IF(INSERIMENTO_DATI!H40&gt;0,"Fondo Spese da restituire all'Aggiudicatario","F.do Spese ancora da versare a cura dall'Aggiudicatario")</f>
        <v>F.do Spese ancora da versare a cura dall'Aggiudicatario</v>
      </c>
      <c r="E57" s="366"/>
      <c r="F57" s="366"/>
      <c r="G57" s="366"/>
    </row>
    <row r="58" spans="1:9">
      <c r="A58" s="366" t="str">
        <f>IF(INSERIMENTO_DATI!$D$7="si","","Pescara,                                                                                                                          Il Giudice Esecuzioni ")</f>
        <v xml:space="preserve">Pescara,                                                                                                                          Il Giudice Esecuzioni </v>
      </c>
      <c r="B58" s="366"/>
      <c r="D58" s="366"/>
    </row>
    <row r="59" spans="1:9">
      <c r="C59" s="366"/>
    </row>
  </sheetData>
  <sheetProtection selectLockedCells="1"/>
  <mergeCells count="72">
    <mergeCell ref="E18:F18"/>
    <mergeCell ref="G18:H18"/>
    <mergeCell ref="A19:I19"/>
    <mergeCell ref="E23:F23"/>
    <mergeCell ref="A25:I25"/>
    <mergeCell ref="A21:B21"/>
    <mergeCell ref="A24:I24"/>
    <mergeCell ref="E20:F20"/>
    <mergeCell ref="A26:I26"/>
    <mergeCell ref="C20:D20"/>
    <mergeCell ref="A22:I22"/>
    <mergeCell ref="A40:D40"/>
    <mergeCell ref="E35:G35"/>
    <mergeCell ref="G21:H21"/>
    <mergeCell ref="A31:I31"/>
    <mergeCell ref="A41:B41"/>
    <mergeCell ref="E34:G34"/>
    <mergeCell ref="A39:D39"/>
    <mergeCell ref="A28:I28"/>
    <mergeCell ref="A52:B52"/>
    <mergeCell ref="E41:G41"/>
    <mergeCell ref="A50:B50"/>
    <mergeCell ref="A34:D34"/>
    <mergeCell ref="C36:D36"/>
    <mergeCell ref="A47:F47"/>
    <mergeCell ref="A45:D45"/>
    <mergeCell ref="A55:B55"/>
    <mergeCell ref="G23:H23"/>
    <mergeCell ref="A23:B23"/>
    <mergeCell ref="A46:D46"/>
    <mergeCell ref="E36:G36"/>
    <mergeCell ref="C21:D21"/>
    <mergeCell ref="E21:F21"/>
    <mergeCell ref="C23:D23"/>
    <mergeCell ref="E37:G37"/>
    <mergeCell ref="E38:G38"/>
    <mergeCell ref="A14:I14"/>
    <mergeCell ref="A17:I17"/>
    <mergeCell ref="C16:D16"/>
    <mergeCell ref="G20:H20"/>
    <mergeCell ref="G16:H16"/>
    <mergeCell ref="A20:B20"/>
    <mergeCell ref="E16:F16"/>
    <mergeCell ref="A18:B18"/>
    <mergeCell ref="G15:H15"/>
    <mergeCell ref="A16:B16"/>
    <mergeCell ref="A11:I11"/>
    <mergeCell ref="A5:I5"/>
    <mergeCell ref="A7:I7"/>
    <mergeCell ref="A8:I8"/>
    <mergeCell ref="A6:I6"/>
    <mergeCell ref="A9:I9"/>
    <mergeCell ref="E33:G33"/>
    <mergeCell ref="A27:I27"/>
    <mergeCell ref="A1:I1"/>
    <mergeCell ref="A3:I3"/>
    <mergeCell ref="A15:B15"/>
    <mergeCell ref="C15:D15"/>
    <mergeCell ref="E15:F15"/>
    <mergeCell ref="A12:I12"/>
    <mergeCell ref="A10:I10"/>
    <mergeCell ref="A13:I13"/>
    <mergeCell ref="A44:D44"/>
    <mergeCell ref="E44:G44"/>
    <mergeCell ref="E45:G45"/>
    <mergeCell ref="A29:I29"/>
    <mergeCell ref="A30:I30"/>
    <mergeCell ref="A33:D33"/>
    <mergeCell ref="E42:G42"/>
    <mergeCell ref="E39:G39"/>
    <mergeCell ref="A35:D35"/>
    <mergeCell ref="E40:G40"/>
  </mergeCells>
  <phoneticPr fontId="2" type="noConversion"/>
  <pageMargins left="0.71" right="0.1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P49"/>
  <sheetViews>
    <sheetView zoomScale="120" zoomScaleNormal="120" workbookViewId="0">
      <selection activeCell="B50" sqref="B50"/>
    </sheetView>
  </sheetViews>
  <sheetFormatPr defaultRowHeight="12.75"/>
  <cols>
    <col min="1" max="1" width="4.42578125" customWidth="1"/>
    <col min="2" max="2" width="17.5703125" customWidth="1"/>
    <col min="6" max="6" width="13.5703125" customWidth="1"/>
    <col min="7" max="7" width="12.5703125" customWidth="1"/>
    <col min="8" max="8" width="10.7109375" customWidth="1"/>
    <col min="9" max="9" width="13" customWidth="1"/>
  </cols>
  <sheetData>
    <row r="1" spans="1:12" ht="8.25" customHeight="1"/>
    <row r="2" spans="1:12" ht="20.25">
      <c r="B2" s="590" t="s">
        <v>142</v>
      </c>
      <c r="C2" s="590"/>
      <c r="D2" s="590"/>
      <c r="E2" s="590"/>
      <c r="F2" s="590"/>
      <c r="G2" s="590"/>
      <c r="H2" s="590"/>
      <c r="I2" s="590"/>
    </row>
    <row r="3" spans="1:12" ht="18.75">
      <c r="B3" s="591" t="s">
        <v>54</v>
      </c>
      <c r="C3" s="591"/>
      <c r="D3" s="591"/>
      <c r="E3" s="591"/>
      <c r="F3" s="591"/>
      <c r="G3" s="591"/>
      <c r="H3" s="591"/>
      <c r="I3" s="591"/>
    </row>
    <row r="4" spans="1:12">
      <c r="A4" s="189"/>
      <c r="B4" s="189"/>
      <c r="C4" s="189"/>
      <c r="D4" s="189"/>
      <c r="G4" s="592" t="s">
        <v>154</v>
      </c>
      <c r="H4" s="592"/>
      <c r="I4" s="195" t="str">
        <f>+INSERIMENTO_DATI!C2</f>
        <v>37/2011</v>
      </c>
      <c r="L4" s="200"/>
    </row>
    <row r="5" spans="1:12" ht="16.5" thickBot="1">
      <c r="A5" s="190"/>
      <c r="B5" s="190"/>
      <c r="C5" s="190"/>
      <c r="D5" s="190"/>
      <c r="E5" s="190"/>
      <c r="F5" s="190"/>
      <c r="G5" s="190"/>
      <c r="H5" s="190"/>
      <c r="I5" s="190"/>
    </row>
    <row r="6" spans="1:12" ht="18.75" customHeight="1">
      <c r="A6" t="s">
        <v>143</v>
      </c>
      <c r="C6" s="594" t="str">
        <f>+INSERIMENTO_DATI!C3</f>
        <v>UNICREDIT CREDIT MANAGEMENT BANK s.p.a.</v>
      </c>
      <c r="D6" s="594"/>
      <c r="E6" s="594"/>
      <c r="F6" s="594"/>
      <c r="G6" s="594"/>
      <c r="H6" s="594"/>
    </row>
    <row r="7" spans="1:12">
      <c r="A7" t="s">
        <v>144</v>
      </c>
      <c r="C7" s="594" t="str">
        <f>+INSERIMENTO_DATI!C4</f>
        <v>SPINACI</v>
      </c>
      <c r="D7" s="594"/>
      <c r="E7" s="594"/>
      <c r="F7" s="594"/>
      <c r="G7" s="594"/>
      <c r="H7" s="594"/>
    </row>
    <row r="8" spans="1:12" ht="6.75" customHeight="1" thickBot="1">
      <c r="A8" s="190"/>
      <c r="B8" s="190"/>
      <c r="C8" s="190"/>
      <c r="D8" s="190"/>
      <c r="E8" s="190"/>
      <c r="F8" s="190"/>
      <c r="G8" s="190"/>
      <c r="H8" s="190"/>
      <c r="I8" s="190"/>
    </row>
    <row r="9" spans="1:12" ht="18.75" customHeight="1">
      <c r="A9" s="593" t="s">
        <v>145</v>
      </c>
      <c r="B9" s="593"/>
      <c r="C9" s="593"/>
      <c r="D9" s="593"/>
      <c r="E9" s="593"/>
      <c r="F9" s="593"/>
      <c r="G9" s="593"/>
      <c r="H9" s="593"/>
      <c r="I9" s="593"/>
    </row>
    <row r="10" spans="1:12" ht="6" customHeight="1" thickBot="1">
      <c r="A10" s="237"/>
      <c r="B10" s="237"/>
      <c r="C10" s="237"/>
      <c r="D10" s="237"/>
      <c r="E10" s="237"/>
      <c r="F10" s="237"/>
      <c r="G10" s="237"/>
      <c r="H10" s="237"/>
      <c r="I10" s="237"/>
    </row>
    <row r="11" spans="1:12" ht="7.5" customHeight="1"/>
    <row r="12" spans="1:12">
      <c r="A12" t="s">
        <v>146</v>
      </c>
    </row>
    <row r="13" spans="1:12">
      <c r="A13" s="102" t="str">
        <f>"il sottoscritto "&amp;INSERIMENTO_DATI!C5&amp; " "&amp;INSERIMENTO_DATI!C6&amp; " - nominato con ordinanza del Tribunale di Pescara custode del"</f>
        <v>il sottoscritto avv. PILONE GIULIANO - nominato con ordinanza del Tribunale di Pescara custode del</v>
      </c>
    </row>
    <row r="14" spans="1:12">
      <c r="A14" s="251" t="s">
        <v>297</v>
      </c>
    </row>
    <row r="15" spans="1:12">
      <c r="A15" t="s">
        <v>147</v>
      </c>
    </row>
    <row r="16" spans="1:12">
      <c r="A16" s="564"/>
      <c r="B16" s="564"/>
      <c r="C16" s="564"/>
      <c r="D16" s="564"/>
      <c r="E16" s="564"/>
      <c r="F16" s="564"/>
      <c r="G16" s="564"/>
      <c r="H16" s="564"/>
      <c r="I16" s="564"/>
    </row>
    <row r="17" spans="1:9">
      <c r="A17" s="588" t="s">
        <v>148</v>
      </c>
      <c r="B17" s="588"/>
      <c r="C17" s="588"/>
      <c r="D17" s="588"/>
      <c r="E17" s="588"/>
      <c r="F17" s="588"/>
      <c r="G17" s="588"/>
      <c r="H17" s="588"/>
    </row>
    <row r="19" spans="1:9">
      <c r="A19" s="102" t="s">
        <v>182</v>
      </c>
      <c r="E19" s="236">
        <f>+INSERIMENTO_DATI!T11</f>
        <v>2</v>
      </c>
      <c r="F19" t="s">
        <v>183</v>
      </c>
    </row>
    <row r="20" spans="1:9">
      <c r="A20" s="102" t="s">
        <v>176</v>
      </c>
    </row>
    <row r="21" spans="1:9">
      <c r="A21" s="102" t="s">
        <v>177</v>
      </c>
    </row>
    <row r="22" spans="1:9">
      <c r="A22" s="251" t="s">
        <v>264</v>
      </c>
      <c r="B22" s="201"/>
      <c r="C22" s="367"/>
      <c r="D22" s="367"/>
      <c r="E22" s="367"/>
      <c r="F22" s="367"/>
      <c r="G22" s="367"/>
      <c r="H22" s="367"/>
      <c r="I22" s="367"/>
    </row>
    <row r="23" spans="1:9">
      <c r="A23" s="191"/>
    </row>
    <row r="24" spans="1:9">
      <c r="A24" s="102" t="s">
        <v>178</v>
      </c>
    </row>
    <row r="25" spans="1:9">
      <c r="A25" s="102" t="s">
        <v>179</v>
      </c>
    </row>
    <row r="26" spans="1:9">
      <c r="A26" t="s">
        <v>149</v>
      </c>
    </row>
    <row r="27" spans="1:9">
      <c r="A27" t="s">
        <v>150</v>
      </c>
      <c r="G27" t="s">
        <v>59</v>
      </c>
      <c r="H27" s="196">
        <f>+INSERIMENTO_DATI!C11</f>
        <v>3639.66</v>
      </c>
    </row>
    <row r="28" spans="1:9">
      <c r="G28" t="s">
        <v>60</v>
      </c>
      <c r="H28" s="197">
        <f>+INSERIMENTO_DATI!E11</f>
        <v>71250</v>
      </c>
    </row>
    <row r="29" spans="1:9">
      <c r="G29" t="s">
        <v>61</v>
      </c>
      <c r="H29" s="197">
        <f>+INSERIMENTO_DATI!G11</f>
        <v>0</v>
      </c>
    </row>
    <row r="30" spans="1:9">
      <c r="G30" t="s">
        <v>62</v>
      </c>
      <c r="H30" s="197">
        <f>+INSERIMENTO_DATI!I11</f>
        <v>0</v>
      </c>
    </row>
    <row r="31" spans="1:9">
      <c r="G31" t="s">
        <v>63</v>
      </c>
      <c r="H31" s="198">
        <f>+INSERIMENTO_DATI!K11</f>
        <v>0</v>
      </c>
    </row>
    <row r="32" spans="1:9">
      <c r="G32" s="192" t="s">
        <v>64</v>
      </c>
      <c r="H32" s="199">
        <f>SUM(H27:H31)</f>
        <v>74889.66</v>
      </c>
    </row>
    <row r="33" spans="1:14">
      <c r="A33" s="251" t="s">
        <v>186</v>
      </c>
      <c r="G33" s="192"/>
      <c r="H33" s="199"/>
    </row>
    <row r="34" spans="1:14">
      <c r="A34" s="235" t="s">
        <v>180</v>
      </c>
      <c r="B34" s="189"/>
      <c r="C34" s="189"/>
      <c r="D34" s="189"/>
      <c r="E34" s="189"/>
      <c r="F34" s="189"/>
      <c r="G34" s="193">
        <f>+INSERIMENTO_DATI!H34</f>
        <v>12000</v>
      </c>
      <c r="H34" t="s">
        <v>155</v>
      </c>
      <c r="I34" s="193">
        <f>+INSERIMENTO_DATI!H33</f>
        <v>11865</v>
      </c>
    </row>
    <row r="35" spans="1:14">
      <c r="A35" s="252" t="s">
        <v>187</v>
      </c>
      <c r="B35" s="189"/>
      <c r="C35" s="189"/>
      <c r="D35" s="189"/>
      <c r="E35" s="189"/>
      <c r="F35" s="193"/>
      <c r="G35" s="189"/>
      <c r="I35" s="193"/>
    </row>
    <row r="36" spans="1:14">
      <c r="A36" s="252"/>
      <c r="B36" s="189"/>
      <c r="C36" s="189"/>
      <c r="D36" s="189"/>
      <c r="E36" s="189"/>
      <c r="F36" s="193"/>
      <c r="G36" s="189"/>
      <c r="I36" s="193"/>
    </row>
    <row r="37" spans="1:14">
      <c r="A37" s="252"/>
      <c r="B37" s="189"/>
      <c r="C37" s="189"/>
      <c r="D37" s="189"/>
      <c r="E37" s="189"/>
      <c r="F37" s="193"/>
      <c r="G37" s="189"/>
      <c r="I37" s="193"/>
    </row>
    <row r="38" spans="1:14">
      <c r="A38" s="595"/>
      <c r="B38" s="595"/>
      <c r="C38" s="595"/>
      <c r="D38" s="595"/>
      <c r="E38" s="595"/>
      <c r="F38" s="595"/>
      <c r="G38" s="595"/>
      <c r="H38" s="595"/>
      <c r="I38" s="595"/>
    </row>
    <row r="39" spans="1:14">
      <c r="A39" t="s">
        <v>151</v>
      </c>
    </row>
    <row r="40" spans="1:14" ht="15">
      <c r="E40" s="194" t="s">
        <v>152</v>
      </c>
    </row>
    <row r="42" spans="1:14">
      <c r="A42" s="251" t="s">
        <v>265</v>
      </c>
    </row>
    <row r="43" spans="1:14">
      <c r="A43" s="102" t="s">
        <v>181</v>
      </c>
    </row>
    <row r="44" spans="1:14">
      <c r="A44" t="s">
        <v>153</v>
      </c>
    </row>
    <row r="45" spans="1:14">
      <c r="A45" s="589" t="str">
        <f ca="1">IF(INSERIMENTO_DATI!$D$7="si","","Pescara, "&amp;TEXT(TODAY(),"g/m/aaaa"))</f>
        <v>Pescara, 27/10/2017</v>
      </c>
      <c r="B45" s="589"/>
      <c r="C45" s="589"/>
      <c r="D45" s="589"/>
      <c r="E45" s="589"/>
      <c r="F45" s="589"/>
      <c r="G45" s="589"/>
      <c r="H45" s="589"/>
      <c r="I45" s="589"/>
      <c r="J45" s="248"/>
      <c r="K45" s="248"/>
      <c r="L45" s="248"/>
      <c r="M45" s="248"/>
      <c r="N45" s="248"/>
    </row>
    <row r="47" spans="1:14">
      <c r="B47" t="s">
        <v>298</v>
      </c>
    </row>
    <row r="49" spans="2:16">
      <c r="B49" t="s">
        <v>299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</row>
  </sheetData>
  <mergeCells count="10">
    <mergeCell ref="A17:H17"/>
    <mergeCell ref="A16:I16"/>
    <mergeCell ref="A45:I45"/>
    <mergeCell ref="B2:I2"/>
    <mergeCell ref="B3:I3"/>
    <mergeCell ref="G4:H4"/>
    <mergeCell ref="A9:I9"/>
    <mergeCell ref="C6:H6"/>
    <mergeCell ref="C7:H7"/>
    <mergeCell ref="A38:I3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8"/>
  <sheetViews>
    <sheetView zoomScale="110" zoomScaleNormal="110" workbookViewId="0">
      <selection activeCell="I11" sqref="I11"/>
    </sheetView>
  </sheetViews>
  <sheetFormatPr defaultRowHeight="12.75"/>
  <cols>
    <col min="3" max="3" width="10.5703125" customWidth="1"/>
    <col min="4" max="4" width="81.5703125" customWidth="1"/>
    <col min="5" max="5" width="12.140625" style="1" bestFit="1" customWidth="1"/>
    <col min="6" max="6" width="12.85546875" style="1" bestFit="1" customWidth="1"/>
    <col min="7" max="9" width="12.7109375" style="1" bestFit="1" customWidth="1"/>
    <col min="10" max="10" width="13" style="1" customWidth="1"/>
    <col min="11" max="12" width="15.28515625" style="1" bestFit="1" customWidth="1"/>
    <col min="13" max="13" width="10.7109375" style="1" bestFit="1" customWidth="1"/>
    <col min="14" max="14" width="10.7109375" bestFit="1" customWidth="1"/>
    <col min="15" max="15" width="11.28515625" customWidth="1"/>
    <col min="16" max="16" width="10" bestFit="1" customWidth="1"/>
  </cols>
  <sheetData>
    <row r="2" spans="2:18">
      <c r="K2" s="302">
        <f>+INSERIMENTO_DATI!N11-F7-G7-H7-I7-J7</f>
        <v>0</v>
      </c>
    </row>
    <row r="4" spans="2:18">
      <c r="Q4" s="597" t="s">
        <v>310</v>
      </c>
      <c r="R4" s="597" t="s">
        <v>309</v>
      </c>
    </row>
    <row r="5" spans="2:18">
      <c r="Q5" s="597"/>
      <c r="R5" s="597"/>
    </row>
    <row r="6" spans="2:18">
      <c r="F6" s="265" t="s">
        <v>220</v>
      </c>
      <c r="G6" s="265" t="s">
        <v>221</v>
      </c>
      <c r="H6" s="265" t="s">
        <v>222</v>
      </c>
      <c r="I6" s="265" t="s">
        <v>223</v>
      </c>
      <c r="J6" s="265" t="s">
        <v>224</v>
      </c>
      <c r="K6" s="301" t="s">
        <v>258</v>
      </c>
      <c r="L6" s="301" t="s">
        <v>247</v>
      </c>
      <c r="Q6" s="597"/>
      <c r="R6" s="597"/>
    </row>
    <row r="7" spans="2:18" ht="18" customHeight="1">
      <c r="B7" s="266"/>
      <c r="C7" s="267"/>
      <c r="D7" s="268" t="s">
        <v>219</v>
      </c>
      <c r="E7" s="269"/>
      <c r="F7" s="270">
        <f>+INSERIMENTO_DATI!C25</f>
        <v>3639.66</v>
      </c>
      <c r="G7" s="270">
        <f>+INSERIMENTO_DATI!E25</f>
        <v>71250</v>
      </c>
      <c r="H7" s="270">
        <f>+INSERIMENTO_DATI!G25</f>
        <v>0</v>
      </c>
      <c r="I7" s="270">
        <f>+INSERIMENTO_DATI!I25</f>
        <v>0</v>
      </c>
      <c r="J7" s="270">
        <f>+INSERIMENTO_DATI!K25</f>
        <v>0</v>
      </c>
      <c r="K7" s="270"/>
      <c r="L7" s="327">
        <f>SUM(F7:J7)</f>
        <v>74889.66</v>
      </c>
      <c r="Q7" s="597"/>
      <c r="R7" s="597"/>
    </row>
    <row r="8" spans="2:18">
      <c r="L8" s="332">
        <f>+INSERIMENTO_DATI!N14</f>
        <v>0</v>
      </c>
      <c r="M8" s="332"/>
      <c r="N8" s="412"/>
      <c r="O8" s="412"/>
      <c r="P8" s="412"/>
      <c r="Q8" s="191"/>
      <c r="R8" s="191"/>
    </row>
    <row r="9" spans="2:18">
      <c r="D9" s="251" t="s">
        <v>257</v>
      </c>
      <c r="L9" s="332">
        <f>+INSERIMENTO_DATI!N13</f>
        <v>0</v>
      </c>
      <c r="M9" s="332" t="s">
        <v>270</v>
      </c>
      <c r="N9" s="412" t="s">
        <v>269</v>
      </c>
      <c r="O9" s="412" t="s">
        <v>271</v>
      </c>
      <c r="P9" s="412"/>
      <c r="Q9" s="191"/>
      <c r="R9" s="191"/>
    </row>
    <row r="10" spans="2:18">
      <c r="B10" s="360"/>
      <c r="C10" s="361" t="s">
        <v>64</v>
      </c>
      <c r="D10" s="362" t="s">
        <v>249</v>
      </c>
      <c r="E10" s="363"/>
      <c r="F10" s="363"/>
      <c r="G10" s="363"/>
      <c r="H10" s="363"/>
      <c r="I10" s="363"/>
      <c r="J10" s="364"/>
      <c r="K10" s="364">
        <f>+K11+K12</f>
        <v>2300</v>
      </c>
      <c r="L10" s="364">
        <f>+L11+L12</f>
        <v>2200</v>
      </c>
      <c r="M10" s="413">
        <f>+K10+L10</f>
        <v>4500</v>
      </c>
      <c r="N10" s="413">
        <f>+N11+N12</f>
        <v>410</v>
      </c>
      <c r="O10" s="413">
        <f>+O11+O12</f>
        <v>4090</v>
      </c>
      <c r="P10" s="413">
        <f>+O10+N10</f>
        <v>4500</v>
      </c>
      <c r="Q10" s="431"/>
      <c r="R10" s="431"/>
    </row>
    <row r="11" spans="2:18">
      <c r="B11" s="261"/>
      <c r="C11" s="271" t="s">
        <v>252</v>
      </c>
      <c r="D11" s="263" t="s">
        <v>250</v>
      </c>
      <c r="E11" s="262"/>
      <c r="F11" s="262"/>
      <c r="G11" s="262"/>
      <c r="H11" s="262"/>
      <c r="I11" s="262"/>
      <c r="J11" s="264"/>
      <c r="K11" s="264">
        <f>+K14+K43</f>
        <v>1100</v>
      </c>
      <c r="L11" s="264">
        <f>+L14+L43</f>
        <v>2200</v>
      </c>
      <c r="M11" s="414">
        <f>+L11+K11</f>
        <v>3300</v>
      </c>
      <c r="N11" s="414">
        <f>+M45</f>
        <v>300</v>
      </c>
      <c r="O11" s="415">
        <f>+M11-N11</f>
        <v>3000</v>
      </c>
      <c r="P11" s="412"/>
      <c r="Q11" s="433">
        <f>IF(INSERIMENTO_DATI!I7="prima",+Q16+Q21+Q26,0)</f>
        <v>0</v>
      </c>
      <c r="R11" s="434">
        <f>IF(INSERIMENTO_DATI!I7="dopo",+R16+R21+R26,0)</f>
        <v>0</v>
      </c>
    </row>
    <row r="12" spans="2:18">
      <c r="B12" s="261"/>
      <c r="C12" s="271" t="s">
        <v>252</v>
      </c>
      <c r="D12" s="263" t="s">
        <v>251</v>
      </c>
      <c r="E12" s="262"/>
      <c r="F12" s="262"/>
      <c r="G12" s="262"/>
      <c r="H12" s="262"/>
      <c r="I12" s="262"/>
      <c r="J12" s="264"/>
      <c r="K12" s="264">
        <f>+K60</f>
        <v>1200</v>
      </c>
      <c r="L12" s="264">
        <f>+L60</f>
        <v>0</v>
      </c>
      <c r="M12" s="414">
        <f>+L12+K12</f>
        <v>1200</v>
      </c>
      <c r="N12" s="414">
        <f>+M63+M64</f>
        <v>110</v>
      </c>
      <c r="O12" s="415">
        <f>+M12-N12</f>
        <v>1090</v>
      </c>
      <c r="P12" s="412"/>
      <c r="Q12" s="435"/>
      <c r="R12" s="436"/>
    </row>
    <row r="13" spans="2:18">
      <c r="B13" s="596" t="s">
        <v>191</v>
      </c>
      <c r="C13" s="596"/>
      <c r="M13" s="332"/>
      <c r="N13" s="412"/>
      <c r="O13" s="412"/>
      <c r="P13" s="412"/>
      <c r="Q13" s="437">
        <f>IF(INSERIMENTO_DATI!I7="prima",+Q44,0)</f>
        <v>0</v>
      </c>
      <c r="R13" s="438">
        <f>IF(INSERIMENTO_DATI!I7="dopo",+R44,0)</f>
        <v>0</v>
      </c>
    </row>
    <row r="14" spans="2:18">
      <c r="B14" s="337" t="s">
        <v>237</v>
      </c>
      <c r="C14" s="341" t="s">
        <v>51</v>
      </c>
      <c r="D14" s="342"/>
      <c r="E14" s="343"/>
      <c r="F14" s="343">
        <f t="shared" ref="F14:L14" si="0">+F15+F20+F25</f>
        <v>500</v>
      </c>
      <c r="G14" s="343">
        <f t="shared" si="0"/>
        <v>500</v>
      </c>
      <c r="H14" s="343">
        <f t="shared" si="0"/>
        <v>0</v>
      </c>
      <c r="I14" s="343">
        <f t="shared" si="0"/>
        <v>0</v>
      </c>
      <c r="J14" s="343">
        <f t="shared" si="0"/>
        <v>0</v>
      </c>
      <c r="K14" s="355">
        <f t="shared" si="0"/>
        <v>1000</v>
      </c>
      <c r="L14" s="344">
        <f t="shared" si="0"/>
        <v>2000</v>
      </c>
      <c r="M14" s="332"/>
      <c r="N14" s="412"/>
      <c r="O14" s="412"/>
      <c r="P14" s="412"/>
      <c r="Q14" s="191"/>
      <c r="R14" s="191"/>
    </row>
    <row r="15" spans="2:18">
      <c r="B15" s="261"/>
      <c r="C15" s="322"/>
      <c r="D15" s="323" t="s">
        <v>204</v>
      </c>
      <c r="E15" s="324">
        <v>100000</v>
      </c>
      <c r="F15" s="325">
        <f t="shared" ref="F15:L15" si="1">SUM(F16:F19)</f>
        <v>500</v>
      </c>
      <c r="G15" s="325">
        <f t="shared" si="1"/>
        <v>500</v>
      </c>
      <c r="H15" s="325">
        <f t="shared" si="1"/>
        <v>0</v>
      </c>
      <c r="I15" s="325">
        <f t="shared" si="1"/>
        <v>0</v>
      </c>
      <c r="J15" s="325">
        <f t="shared" si="1"/>
        <v>0</v>
      </c>
      <c r="K15" s="335">
        <f t="shared" si="1"/>
        <v>1000</v>
      </c>
      <c r="L15" s="326">
        <f t="shared" si="1"/>
        <v>2000</v>
      </c>
      <c r="M15" s="332"/>
      <c r="N15" s="412"/>
      <c r="O15" s="412"/>
      <c r="P15" s="412"/>
      <c r="Q15" s="191"/>
      <c r="R15" s="191"/>
    </row>
    <row r="16" spans="2:18">
      <c r="B16" s="276"/>
      <c r="C16" s="189" t="s">
        <v>196</v>
      </c>
      <c r="D16" s="189" t="s">
        <v>205</v>
      </c>
      <c r="E16" s="320">
        <v>1000</v>
      </c>
      <c r="F16" s="277"/>
      <c r="G16" s="277"/>
      <c r="H16" s="277"/>
      <c r="I16" s="277"/>
      <c r="J16" s="277"/>
      <c r="K16" s="303"/>
      <c r="L16" s="278">
        <f>IF(L$7=0,0,IF(L$7&lt;=100000,$E16,0))</f>
        <v>1000</v>
      </c>
      <c r="M16" s="332">
        <f>+K16+L16</f>
        <v>1000</v>
      </c>
      <c r="N16" s="412"/>
      <c r="O16" s="412"/>
      <c r="P16" s="412"/>
      <c r="Q16" s="431">
        <f>+M16</f>
        <v>1000</v>
      </c>
      <c r="R16" s="431">
        <f>+M16+M17</f>
        <v>2000</v>
      </c>
    </row>
    <row r="17" spans="2:18">
      <c r="B17" s="276"/>
      <c r="C17" s="189" t="s">
        <v>197</v>
      </c>
      <c r="D17" s="252" t="s">
        <v>236</v>
      </c>
      <c r="E17" s="320">
        <v>1000</v>
      </c>
      <c r="F17" s="277"/>
      <c r="G17" s="277"/>
      <c r="H17" s="277"/>
      <c r="I17" s="277"/>
      <c r="J17" s="277"/>
      <c r="K17" s="303"/>
      <c r="L17" s="278">
        <f>IF(L$7=0,0,IF(L$7&lt;=100000,$E17,0))</f>
        <v>1000</v>
      </c>
      <c r="M17" s="332">
        <f>+K17+L17</f>
        <v>1000</v>
      </c>
      <c r="N17" s="412"/>
      <c r="O17" s="412"/>
      <c r="P17" s="412"/>
      <c r="Q17" s="191"/>
      <c r="R17" s="191"/>
    </row>
    <row r="18" spans="2:18">
      <c r="B18" s="276"/>
      <c r="C18" s="189" t="s">
        <v>198</v>
      </c>
      <c r="D18" s="189" t="s">
        <v>245</v>
      </c>
      <c r="E18" s="320">
        <v>500</v>
      </c>
      <c r="F18" s="333">
        <f>IF(INSERIMENTO_DATI!D13=0,0,IF(F$7&lt;=100000,$E18,0))</f>
        <v>500</v>
      </c>
      <c r="G18" s="333">
        <f>IF(INSERIMENTO_DATI!F13=0,0,IF(G$7&lt;=100000,$E18,0))</f>
        <v>500</v>
      </c>
      <c r="H18" s="333">
        <f>IF(INSERIMENTO_DATI!H13=0,0,IF(H$7&lt;=100000,$E18,0))</f>
        <v>0</v>
      </c>
      <c r="I18" s="333">
        <f>IF(INSERIMENTO_DATI!J13=0,0,IF(I$7&lt;=100000,$E18,0))</f>
        <v>0</v>
      </c>
      <c r="J18" s="333">
        <f>IF(INSERIMENTO_DATI!L13=0,0,IF(J$7&lt;=100000,$E18,0))</f>
        <v>0</v>
      </c>
      <c r="K18" s="303">
        <f>SUM(F18:J18)</f>
        <v>1000</v>
      </c>
      <c r="L18" s="278">
        <f>IF(L$9=0,0,IF(L$9&lt;=100000,$E18,0))</f>
        <v>0</v>
      </c>
      <c r="M18" s="332">
        <f>+K18+L18</f>
        <v>1000</v>
      </c>
      <c r="N18" s="412"/>
      <c r="O18" s="412"/>
      <c r="P18" s="412"/>
      <c r="Q18" s="191"/>
      <c r="R18" s="191"/>
    </row>
    <row r="19" spans="2:18">
      <c r="B19" s="276"/>
      <c r="C19" s="189" t="s">
        <v>199</v>
      </c>
      <c r="D19" s="189" t="s">
        <v>206</v>
      </c>
      <c r="E19" s="320">
        <v>1000</v>
      </c>
      <c r="F19" s="333">
        <f>IF(INSERIMENTO_DATI!D14&lt;=1,0,IF(F$7&lt;=100000,($E19*INSERIMENTO_DATI!D14),0))</f>
        <v>0</v>
      </c>
      <c r="G19" s="333">
        <f>IF(INSERIMENTO_DATI!F14&lt;=1,0,IF(G$7&lt;=100000,($E19*INSERIMENTO_DATI!F14),0))</f>
        <v>0</v>
      </c>
      <c r="H19" s="333">
        <f>IF(INSERIMENTO_DATI!H14&lt;=1,0,IF(H$7&lt;=100000,($E19*INSERIMENTO_DATI!H14),0))</f>
        <v>0</v>
      </c>
      <c r="I19" s="333">
        <f>IF(INSERIMENTO_DATI!J14&lt;=1,0,IF(I$7&lt;=100000,($E19*INSERIMENTO_DATI!J14),0))</f>
        <v>0</v>
      </c>
      <c r="J19" s="333">
        <f>IF(INSERIMENTO_DATI!L14&lt;=1,0,IF(J$7&lt;=100000,($E19*INSERIMENTO_DATI!L14),0))</f>
        <v>0</v>
      </c>
      <c r="K19" s="303">
        <f>SUM(F19:J19)</f>
        <v>0</v>
      </c>
      <c r="L19" s="278">
        <f>IF(L$8=0,0,IF(L$8&lt;=100000,$E19,0))</f>
        <v>0</v>
      </c>
      <c r="M19" s="332">
        <f>+K19+L19</f>
        <v>0</v>
      </c>
      <c r="N19" s="412"/>
      <c r="O19" s="412"/>
      <c r="P19" s="412"/>
      <c r="Q19" s="191"/>
      <c r="R19" s="191"/>
    </row>
    <row r="20" spans="2:18">
      <c r="B20" s="261"/>
      <c r="C20" s="322"/>
      <c r="D20" s="323" t="s">
        <v>208</v>
      </c>
      <c r="E20" s="324">
        <v>500000</v>
      </c>
      <c r="F20" s="325">
        <f t="shared" ref="F20:L20" si="2">SUM(F21:F24)</f>
        <v>0</v>
      </c>
      <c r="G20" s="325">
        <f t="shared" si="2"/>
        <v>0</v>
      </c>
      <c r="H20" s="325">
        <f t="shared" si="2"/>
        <v>0</v>
      </c>
      <c r="I20" s="325">
        <f t="shared" si="2"/>
        <v>0</v>
      </c>
      <c r="J20" s="325">
        <f t="shared" si="2"/>
        <v>0</v>
      </c>
      <c r="K20" s="335">
        <f t="shared" si="2"/>
        <v>0</v>
      </c>
      <c r="L20" s="326">
        <f t="shared" si="2"/>
        <v>0</v>
      </c>
      <c r="M20" s="332"/>
      <c r="N20" s="412"/>
      <c r="O20" s="412"/>
      <c r="P20" s="412"/>
      <c r="Q20" s="191"/>
      <c r="R20" s="191"/>
    </row>
    <row r="21" spans="2:18">
      <c r="B21" s="276"/>
      <c r="C21" s="189" t="s">
        <v>192</v>
      </c>
      <c r="D21" s="189" t="s">
        <v>205</v>
      </c>
      <c r="E21" s="320">
        <v>1500</v>
      </c>
      <c r="F21" s="277"/>
      <c r="G21" s="277"/>
      <c r="H21" s="277"/>
      <c r="I21" s="277"/>
      <c r="J21" s="277"/>
      <c r="K21" s="303"/>
      <c r="L21" s="278">
        <f>IF(L$7=0,0,IF(AND(100000&lt;L$7,L$7&lt;500001),$E21,0))</f>
        <v>0</v>
      </c>
      <c r="M21" s="332">
        <f>+L21+K21</f>
        <v>0</v>
      </c>
      <c r="N21" s="412"/>
      <c r="O21" s="412"/>
      <c r="P21" s="412"/>
      <c r="Q21" s="431">
        <f>+M21</f>
        <v>0</v>
      </c>
      <c r="R21" s="431">
        <f>+M21+M22</f>
        <v>0</v>
      </c>
    </row>
    <row r="22" spans="2:18">
      <c r="B22" s="276"/>
      <c r="C22" s="189" t="s">
        <v>193</v>
      </c>
      <c r="D22" s="252" t="s">
        <v>236</v>
      </c>
      <c r="E22" s="320">
        <v>1500</v>
      </c>
      <c r="F22" s="277"/>
      <c r="G22" s="277"/>
      <c r="H22" s="277"/>
      <c r="I22" s="277"/>
      <c r="J22" s="277"/>
      <c r="K22" s="303"/>
      <c r="L22" s="278">
        <f>IF(L$7=0,0,IF(AND(100000&lt;L$7,L$7&lt;500001),$E22,0))</f>
        <v>0</v>
      </c>
      <c r="M22" s="332">
        <f>+L22+K22</f>
        <v>0</v>
      </c>
      <c r="N22" s="412"/>
      <c r="O22" s="412"/>
      <c r="P22" s="412"/>
      <c r="Q22" s="191"/>
      <c r="R22" s="191"/>
    </row>
    <row r="23" spans="2:18">
      <c r="B23" s="276"/>
      <c r="C23" s="189" t="s">
        <v>194</v>
      </c>
      <c r="D23" s="189" t="s">
        <v>245</v>
      </c>
      <c r="E23" s="320">
        <v>750</v>
      </c>
      <c r="F23" s="333">
        <f>IF(INSERIMENTO_DATI!D13=0,0,IF(AND(100000&lt;F$7,F$7&lt;500001),$E23,0))</f>
        <v>0</v>
      </c>
      <c r="G23" s="333">
        <f>IF(INSERIMENTO_DATI!F13=0,0,IF(AND(100000&lt;G$7,G$7&lt;500001),$E23,0))</f>
        <v>0</v>
      </c>
      <c r="H23" s="333">
        <f>IF(INSERIMENTO_DATI!H13=0,0,IF(AND(100000&lt;H$7,H$7&lt;500001),$E23,0))</f>
        <v>0</v>
      </c>
      <c r="I23" s="333">
        <f>IF(INSERIMENTO_DATI!J13=0,0,IF(AND(100000&lt;I$7,I$7&lt;500001),$E23,0))</f>
        <v>0</v>
      </c>
      <c r="J23" s="333">
        <f>IF(INSERIMENTO_DATI!L13=0,0,IF(AND(100000&lt;J$7,J$7&lt;500001),$E23,0))</f>
        <v>0</v>
      </c>
      <c r="K23" s="303">
        <f>SUM(F23:J23)</f>
        <v>0</v>
      </c>
      <c r="L23" s="278">
        <f>IF(L$9=0,0,IF(AND(100000&lt;L$9,L$9&lt;500001),$E23,0))</f>
        <v>0</v>
      </c>
      <c r="M23" s="332">
        <f>+L23+K23</f>
        <v>0</v>
      </c>
      <c r="N23" s="412"/>
      <c r="O23" s="412"/>
      <c r="P23" s="412"/>
      <c r="Q23" s="191"/>
      <c r="R23" s="191"/>
    </row>
    <row r="24" spans="2:18">
      <c r="B24" s="276"/>
      <c r="C24" s="189" t="s">
        <v>195</v>
      </c>
      <c r="D24" s="189" t="s">
        <v>206</v>
      </c>
      <c r="E24" s="320">
        <v>1500</v>
      </c>
      <c r="F24" s="333">
        <f>IF(INSERIMENTO_DATI!D14&lt;=1,0,IF(AND(100000&lt;F$7,F$7&lt;500001),($E24*INSERIMENTO_DATI!D14),0))</f>
        <v>0</v>
      </c>
      <c r="G24" s="333">
        <f>IF(INSERIMENTO_DATI!F14&lt;=1,0,IF(AND(100000&lt;G$7,G$7&lt;500001),($E24*INSERIMENTO_DATI!F14),0))</f>
        <v>0</v>
      </c>
      <c r="H24" s="333">
        <f>IF(INSERIMENTO_DATI!H14&lt;=1,0,IF(AND(100000&lt;H$7,H$7&lt;500001),($E24*INSERIMENTO_DATI!H14),0))</f>
        <v>0</v>
      </c>
      <c r="I24" s="333">
        <f>IF(INSERIMENTO_DATI!J14&lt;=1,0,IF(AND(100000&lt;I$7,I$7&lt;500001),($E24*INSERIMENTO_DATI!J14),0))</f>
        <v>0</v>
      </c>
      <c r="J24" s="333">
        <f>IF(INSERIMENTO_DATI!L14&lt;=1,0,IF(AND(100000&lt;J$7,J$7&lt;500001),($E24*INSERIMENTO_DATI!L14),0))</f>
        <v>0</v>
      </c>
      <c r="K24" s="303">
        <f>SUM(F24:J24)</f>
        <v>0</v>
      </c>
      <c r="L24" s="278">
        <f>IF(L$8=0,0,IF(AND(100000&lt;L$8,L$8&lt;500001),$E24,0))</f>
        <v>0</v>
      </c>
      <c r="M24" s="332">
        <f>+L24+K24</f>
        <v>0</v>
      </c>
      <c r="N24" s="412"/>
      <c r="O24" s="412"/>
      <c r="P24" s="412"/>
      <c r="Q24" s="191"/>
      <c r="R24" s="191"/>
    </row>
    <row r="25" spans="2:18">
      <c r="B25" s="261"/>
      <c r="C25" s="322"/>
      <c r="D25" s="323" t="s">
        <v>207</v>
      </c>
      <c r="E25" s="324">
        <v>500000</v>
      </c>
      <c r="F25" s="325">
        <f t="shared" ref="F25:L25" si="3">SUM(F26:F29)</f>
        <v>0</v>
      </c>
      <c r="G25" s="325">
        <f t="shared" si="3"/>
        <v>0</v>
      </c>
      <c r="H25" s="325">
        <f t="shared" si="3"/>
        <v>0</v>
      </c>
      <c r="I25" s="325">
        <f t="shared" si="3"/>
        <v>0</v>
      </c>
      <c r="J25" s="325">
        <f t="shared" si="3"/>
        <v>0</v>
      </c>
      <c r="K25" s="335">
        <f t="shared" si="3"/>
        <v>0</v>
      </c>
      <c r="L25" s="326">
        <f t="shared" si="3"/>
        <v>0</v>
      </c>
      <c r="M25" s="332"/>
      <c r="N25" s="412"/>
      <c r="O25" s="412"/>
      <c r="P25" s="412"/>
      <c r="Q25" s="191"/>
      <c r="R25" s="191"/>
    </row>
    <row r="26" spans="2:18">
      <c r="B26" s="276"/>
      <c r="C26" s="189" t="s">
        <v>200</v>
      </c>
      <c r="D26" s="189" t="s">
        <v>205</v>
      </c>
      <c r="E26" s="320">
        <v>2000</v>
      </c>
      <c r="F26" s="277"/>
      <c r="G26" s="277"/>
      <c r="H26" s="277"/>
      <c r="I26" s="277"/>
      <c r="J26" s="277"/>
      <c r="K26" s="303"/>
      <c r="L26" s="354">
        <f>IF(L$7=0,0,IF(L$7&gt;500000,$E26,0))</f>
        <v>0</v>
      </c>
      <c r="M26" s="332">
        <f>+K26+L26</f>
        <v>0</v>
      </c>
      <c r="N26" s="412"/>
      <c r="O26" s="412"/>
      <c r="P26" s="412"/>
      <c r="Q26" s="431">
        <f>+M26</f>
        <v>0</v>
      </c>
      <c r="R26" s="431">
        <f>+M26+M27</f>
        <v>0</v>
      </c>
    </row>
    <row r="27" spans="2:18">
      <c r="B27" s="276"/>
      <c r="C27" s="189" t="s">
        <v>201</v>
      </c>
      <c r="D27" s="252" t="s">
        <v>236</v>
      </c>
      <c r="E27" s="320">
        <v>2000</v>
      </c>
      <c r="F27" s="277"/>
      <c r="G27" s="277"/>
      <c r="H27" s="277"/>
      <c r="I27" s="277"/>
      <c r="J27" s="277"/>
      <c r="K27" s="303"/>
      <c r="L27" s="278">
        <f>IF(L$7=0,0,IF(L$7&gt;500000,$E27,0))</f>
        <v>0</v>
      </c>
      <c r="M27" s="332">
        <f>+K27+L27</f>
        <v>0</v>
      </c>
      <c r="N27" s="412"/>
      <c r="O27" s="412"/>
      <c r="P27" s="412"/>
      <c r="Q27" s="191"/>
      <c r="R27" s="191"/>
    </row>
    <row r="28" spans="2:18">
      <c r="B28" s="276"/>
      <c r="C28" s="189" t="s">
        <v>202</v>
      </c>
      <c r="D28" s="189" t="s">
        <v>245</v>
      </c>
      <c r="E28" s="320">
        <v>1000</v>
      </c>
      <c r="F28" s="333">
        <f>IF(INSERIMENTO_DATI!D13=0,0,IF(F$7&gt;500000,$E28,0))</f>
        <v>0</v>
      </c>
      <c r="G28" s="333">
        <f>IF(INSERIMENTO_DATI!F13=0,0,IF(G$7&gt;500000,$E28,0))</f>
        <v>0</v>
      </c>
      <c r="H28" s="333">
        <f>IF(INSERIMENTO_DATI!H13=0,0,IF(H$7&gt;500000,$E28,0))</f>
        <v>0</v>
      </c>
      <c r="I28" s="333">
        <f>IF(INSERIMENTO_DATI!J13=0,0,IF(I$7&gt;500000,$E28,0))</f>
        <v>0</v>
      </c>
      <c r="J28" s="333">
        <f>IF(INSERIMENTO_DATI!L13=0,0,IF(J$7&gt;500000,$E28,0))</f>
        <v>0</v>
      </c>
      <c r="K28" s="303">
        <f>SUM(F28:J28)</f>
        <v>0</v>
      </c>
      <c r="L28" s="278">
        <f>IF(L$9=0,0,IF(L$9&gt;500000,$E28,0))</f>
        <v>0</v>
      </c>
      <c r="M28" s="332">
        <f>+K28+L28</f>
        <v>0</v>
      </c>
      <c r="N28" s="412"/>
      <c r="O28" s="412"/>
      <c r="P28" s="412"/>
      <c r="Q28" s="191"/>
      <c r="R28" s="191"/>
    </row>
    <row r="29" spans="2:18">
      <c r="B29" s="279"/>
      <c r="C29" s="130" t="s">
        <v>203</v>
      </c>
      <c r="D29" s="130" t="s">
        <v>206</v>
      </c>
      <c r="E29" s="321">
        <v>2000</v>
      </c>
      <c r="F29" s="334">
        <f>IF(INSERIMENTO_DATI!D14&lt;=1,0,IF(F$7&gt;500000,($E29*INSERIMENTO_DATI!D14),0))</f>
        <v>0</v>
      </c>
      <c r="G29" s="334">
        <f>IF(INSERIMENTO_DATI!F14&lt;=1,0,IF(G$7&gt;500000,($E29*INSERIMENTO_DATI!F14),0))</f>
        <v>0</v>
      </c>
      <c r="H29" s="334">
        <f>IF(INSERIMENTO_DATI!H14&lt;=1,0,IF(H$7&gt;500000,($E29*INSERIMENTO_DATI!H14),0))</f>
        <v>0</v>
      </c>
      <c r="I29" s="334">
        <f>IF(INSERIMENTO_DATI!J14&lt;=1,0,IF(I$7&gt;500000,($E29*INSERIMENTO_DATI!J14),0))</f>
        <v>0</v>
      </c>
      <c r="J29" s="334">
        <f>IF(INSERIMENTO_DATI!L14&lt;=1,0,IF(J$7&gt;500000,($E29*INSERIMENTO_DATI!L14),0))</f>
        <v>0</v>
      </c>
      <c r="K29" s="311">
        <f>SUM(F29:J29)</f>
        <v>0</v>
      </c>
      <c r="L29" s="281">
        <f>IF(L$8=0,0,IF(L$8&gt;500000,$E29,0))</f>
        <v>0</v>
      </c>
      <c r="M29" s="332">
        <f>+K29+L29</f>
        <v>0</v>
      </c>
      <c r="N29" s="412"/>
      <c r="O29" s="412"/>
      <c r="P29" s="412"/>
      <c r="Q29" s="191"/>
      <c r="R29" s="191"/>
    </row>
    <row r="30" spans="2:18">
      <c r="M30" s="332"/>
      <c r="N30" s="412"/>
      <c r="O30" s="412"/>
      <c r="P30" s="412"/>
      <c r="Q30" s="191"/>
      <c r="R30" s="191"/>
    </row>
    <row r="31" spans="2:18">
      <c r="B31" s="300" t="s">
        <v>238</v>
      </c>
      <c r="C31" s="345" t="s">
        <v>51</v>
      </c>
      <c r="D31" s="352" t="s">
        <v>246</v>
      </c>
      <c r="E31" s="348"/>
      <c r="F31" s="348">
        <f t="shared" ref="F31:K31" si="4">+F33</f>
        <v>0</v>
      </c>
      <c r="G31" s="348">
        <f t="shared" si="4"/>
        <v>0</v>
      </c>
      <c r="H31" s="348">
        <f t="shared" si="4"/>
        <v>0</v>
      </c>
      <c r="I31" s="348">
        <f t="shared" si="4"/>
        <v>0</v>
      </c>
      <c r="J31" s="348">
        <f t="shared" si="4"/>
        <v>0</v>
      </c>
      <c r="K31" s="353">
        <f t="shared" si="4"/>
        <v>0</v>
      </c>
      <c r="L31" s="349">
        <f>+L33</f>
        <v>0</v>
      </c>
      <c r="M31" s="332"/>
      <c r="N31" s="412"/>
      <c r="O31" s="412"/>
      <c r="P31" s="412"/>
      <c r="Q31" s="191"/>
      <c r="R31" s="191"/>
    </row>
    <row r="32" spans="2:18">
      <c r="B32" s="283"/>
      <c r="C32" s="189"/>
      <c r="D32" s="189"/>
      <c r="E32" s="277"/>
      <c r="F32" s="277"/>
      <c r="G32" s="277"/>
      <c r="H32" s="277"/>
      <c r="I32" s="277"/>
      <c r="J32" s="277"/>
      <c r="K32" s="303"/>
      <c r="L32" s="278"/>
      <c r="M32" s="332"/>
      <c r="N32" s="412"/>
      <c r="O32" s="412"/>
      <c r="P32" s="412"/>
      <c r="Q32" s="191"/>
      <c r="R32" s="191"/>
    </row>
    <row r="33" spans="2:18">
      <c r="B33" s="283"/>
      <c r="C33" s="189"/>
      <c r="D33" s="252"/>
      <c r="E33" s="277"/>
      <c r="F33" s="277"/>
      <c r="G33" s="277"/>
      <c r="H33" s="277"/>
      <c r="I33" s="277"/>
      <c r="J33" s="277"/>
      <c r="K33" s="303"/>
      <c r="L33" s="278"/>
      <c r="M33" s="332"/>
      <c r="N33" s="412"/>
      <c r="O33" s="412"/>
      <c r="P33" s="412"/>
      <c r="Q33" s="191"/>
      <c r="R33" s="191"/>
    </row>
    <row r="34" spans="2:18" ht="15">
      <c r="B34" s="283"/>
      <c r="C34" s="189"/>
      <c r="D34" s="308"/>
      <c r="E34" s="277"/>
      <c r="F34" s="309"/>
      <c r="G34" s="309"/>
      <c r="H34" s="309"/>
      <c r="I34" s="309"/>
      <c r="J34" s="309"/>
      <c r="K34" s="303"/>
      <c r="L34" s="278"/>
      <c r="M34" s="332"/>
      <c r="N34" s="412"/>
      <c r="O34" s="412"/>
      <c r="P34" s="412"/>
      <c r="Q34" s="191"/>
      <c r="R34" s="191"/>
    </row>
    <row r="35" spans="2:18">
      <c r="B35" s="279"/>
      <c r="C35" s="130"/>
      <c r="D35" s="284"/>
      <c r="E35" s="280"/>
      <c r="F35" s="307"/>
      <c r="G35" s="285"/>
      <c r="H35" s="285"/>
      <c r="I35" s="285"/>
      <c r="J35" s="285"/>
      <c r="K35" s="351"/>
      <c r="L35" s="286"/>
      <c r="M35" s="332"/>
      <c r="N35" s="412"/>
      <c r="O35" s="412"/>
      <c r="P35" s="412"/>
      <c r="Q35" s="191"/>
      <c r="R35" s="191"/>
    </row>
    <row r="36" spans="2:18">
      <c r="M36" s="332"/>
      <c r="N36" s="412"/>
      <c r="O36" s="412"/>
      <c r="P36" s="412"/>
    </row>
    <row r="37" spans="2:18">
      <c r="B37" s="300" t="s">
        <v>239</v>
      </c>
      <c r="C37" s="356" t="s">
        <v>51</v>
      </c>
      <c r="D37" s="352"/>
      <c r="E37" s="357"/>
      <c r="F37" s="357"/>
      <c r="G37" s="357"/>
      <c r="H37" s="357"/>
      <c r="I37" s="357"/>
      <c r="J37" s="358"/>
      <c r="K37" s="358"/>
      <c r="L37" s="358"/>
      <c r="M37" s="332"/>
      <c r="N37" s="412"/>
      <c r="O37" s="412"/>
      <c r="P37" s="412"/>
    </row>
    <row r="38" spans="2:18">
      <c r="B38" s="283" t="s">
        <v>230</v>
      </c>
      <c r="C38" s="189"/>
      <c r="D38" s="252" t="s">
        <v>209</v>
      </c>
      <c r="E38" s="277"/>
      <c r="F38" s="277"/>
      <c r="G38" s="277"/>
      <c r="H38" s="277"/>
      <c r="I38" s="277"/>
      <c r="J38" s="278"/>
      <c r="K38" s="278"/>
      <c r="L38" s="278"/>
      <c r="M38" s="332"/>
      <c r="N38" s="412"/>
      <c r="O38" s="412"/>
      <c r="P38" s="412"/>
    </row>
    <row r="39" spans="2:18">
      <c r="B39" s="276"/>
      <c r="C39" s="189"/>
      <c r="D39" s="287" t="s">
        <v>225</v>
      </c>
      <c r="E39" s="277"/>
      <c r="F39" s="288"/>
      <c r="G39" s="288"/>
      <c r="H39" s="288"/>
      <c r="I39" s="288"/>
      <c r="J39" s="289"/>
      <c r="K39" s="289"/>
      <c r="L39" s="289"/>
      <c r="M39" s="332"/>
      <c r="N39" s="412"/>
      <c r="O39" s="412"/>
      <c r="P39" s="412"/>
    </row>
    <row r="40" spans="2:18">
      <c r="B40" s="283" t="s">
        <v>231</v>
      </c>
      <c r="C40" s="189"/>
      <c r="D40" s="252" t="s">
        <v>210</v>
      </c>
      <c r="E40" s="277"/>
      <c r="F40" s="277"/>
      <c r="G40" s="277"/>
      <c r="H40" s="277"/>
      <c r="I40" s="277"/>
      <c r="J40" s="278"/>
      <c r="K40" s="278"/>
      <c r="L40" s="278"/>
      <c r="M40" s="332"/>
      <c r="N40" s="412"/>
      <c r="O40" s="412"/>
      <c r="P40" s="412"/>
    </row>
    <row r="41" spans="2:18">
      <c r="B41" s="279"/>
      <c r="C41" s="130"/>
      <c r="D41" s="290" t="s">
        <v>226</v>
      </c>
      <c r="E41" s="280"/>
      <c r="F41" s="291"/>
      <c r="G41" s="291"/>
      <c r="H41" s="291"/>
      <c r="I41" s="291"/>
      <c r="J41" s="292"/>
      <c r="K41" s="292"/>
      <c r="L41" s="292"/>
      <c r="M41" s="332"/>
      <c r="N41" s="412"/>
      <c r="O41" s="412"/>
      <c r="P41" s="412"/>
    </row>
    <row r="42" spans="2:18">
      <c r="M42" s="332"/>
      <c r="N42" s="412"/>
      <c r="O42" s="412"/>
      <c r="P42" s="412"/>
    </row>
    <row r="43" spans="2:18">
      <c r="B43" s="300" t="s">
        <v>240</v>
      </c>
      <c r="C43" s="341" t="s">
        <v>51</v>
      </c>
      <c r="D43" s="342"/>
      <c r="E43" s="350"/>
      <c r="F43" s="357">
        <f t="shared" ref="F43:K43" si="5">+F45</f>
        <v>50</v>
      </c>
      <c r="G43" s="357">
        <f t="shared" si="5"/>
        <v>50</v>
      </c>
      <c r="H43" s="357">
        <f t="shared" si="5"/>
        <v>0</v>
      </c>
      <c r="I43" s="357">
        <f t="shared" si="5"/>
        <v>0</v>
      </c>
      <c r="J43" s="358">
        <f t="shared" si="5"/>
        <v>0</v>
      </c>
      <c r="K43" s="344">
        <f t="shared" si="5"/>
        <v>100</v>
      </c>
      <c r="L43" s="344">
        <f>+L45</f>
        <v>200</v>
      </c>
      <c r="M43" s="332"/>
      <c r="N43" s="412"/>
      <c r="O43" s="412"/>
      <c r="P43" s="412"/>
    </row>
    <row r="44" spans="2:18">
      <c r="B44" s="293" t="s">
        <v>235</v>
      </c>
      <c r="C44" s="294"/>
      <c r="D44" s="338" t="s">
        <v>227</v>
      </c>
      <c r="E44" s="339"/>
      <c r="F44" s="339">
        <f t="shared" ref="F44:K44" si="6">+F14+F31+F37</f>
        <v>500</v>
      </c>
      <c r="G44" s="339">
        <f t="shared" si="6"/>
        <v>500</v>
      </c>
      <c r="H44" s="339">
        <f t="shared" si="6"/>
        <v>0</v>
      </c>
      <c r="I44" s="339">
        <f t="shared" si="6"/>
        <v>0</v>
      </c>
      <c r="J44" s="339">
        <f t="shared" si="6"/>
        <v>0</v>
      </c>
      <c r="K44" s="340">
        <f t="shared" si="6"/>
        <v>1000</v>
      </c>
      <c r="L44" s="340">
        <f>+L14+L31+L37</f>
        <v>2000</v>
      </c>
      <c r="M44" s="332"/>
      <c r="N44" s="412"/>
      <c r="O44" s="412"/>
      <c r="P44" s="412"/>
      <c r="Q44" s="432">
        <f>(+Q16+Q21+Q26)*0.1</f>
        <v>100</v>
      </c>
      <c r="R44" s="432">
        <f>(+R16+R21+R26)*0.1</f>
        <v>200</v>
      </c>
    </row>
    <row r="45" spans="2:18">
      <c r="B45" s="276"/>
      <c r="C45" s="189"/>
      <c r="D45" s="252" t="s">
        <v>211</v>
      </c>
      <c r="E45" s="330">
        <v>0.1</v>
      </c>
      <c r="F45" s="277">
        <f t="shared" ref="F45:K45" si="7">+F44*$E$45</f>
        <v>50</v>
      </c>
      <c r="G45" s="277">
        <f t="shared" si="7"/>
        <v>50</v>
      </c>
      <c r="H45" s="277">
        <f t="shared" si="7"/>
        <v>0</v>
      </c>
      <c r="I45" s="277">
        <f t="shared" si="7"/>
        <v>0</v>
      </c>
      <c r="J45" s="278">
        <f t="shared" si="7"/>
        <v>0</v>
      </c>
      <c r="K45" s="278">
        <f t="shared" si="7"/>
        <v>100</v>
      </c>
      <c r="L45" s="278">
        <f>+L44*$E$45</f>
        <v>200</v>
      </c>
      <c r="M45" s="414">
        <f>+L45+K45</f>
        <v>300</v>
      </c>
      <c r="N45" s="412"/>
      <c r="O45" s="412"/>
      <c r="P45" s="412"/>
    </row>
    <row r="46" spans="2:18">
      <c r="B46" s="276"/>
      <c r="C46" s="189"/>
      <c r="D46" s="252" t="s">
        <v>212</v>
      </c>
      <c r="E46" s="318"/>
      <c r="F46" s="277"/>
      <c r="G46" s="277"/>
      <c r="H46" s="277"/>
      <c r="I46" s="277"/>
      <c r="J46" s="278"/>
      <c r="K46" s="278"/>
      <c r="L46" s="278"/>
      <c r="M46" s="332"/>
      <c r="N46" s="412"/>
      <c r="O46" s="412"/>
      <c r="P46" s="412"/>
    </row>
    <row r="47" spans="2:18">
      <c r="B47" s="279"/>
      <c r="C47" s="130"/>
      <c r="D47" s="296" t="s">
        <v>213</v>
      </c>
      <c r="E47" s="319"/>
      <c r="F47" s="280"/>
      <c r="G47" s="280"/>
      <c r="H47" s="280"/>
      <c r="I47" s="280"/>
      <c r="J47" s="281"/>
      <c r="K47" s="281"/>
      <c r="L47" s="281"/>
      <c r="M47" s="332"/>
      <c r="N47" s="412"/>
      <c r="O47" s="412"/>
      <c r="P47" s="412"/>
    </row>
    <row r="48" spans="2:18">
      <c r="E48" s="329"/>
      <c r="M48" s="332"/>
      <c r="N48" s="412"/>
      <c r="O48" s="412"/>
      <c r="P48" s="412"/>
    </row>
    <row r="49" spans="2:18">
      <c r="B49" s="300" t="s">
        <v>241</v>
      </c>
      <c r="C49" s="272" t="s">
        <v>51</v>
      </c>
      <c r="D49" s="273"/>
      <c r="E49" s="328"/>
      <c r="F49" s="274">
        <f t="shared" ref="F49:K49" si="8">IF(F52&lt;F53,F52,F53)</f>
        <v>1150</v>
      </c>
      <c r="G49" s="274">
        <f t="shared" si="8"/>
        <v>1050</v>
      </c>
      <c r="H49" s="274">
        <f t="shared" si="8"/>
        <v>0</v>
      </c>
      <c r="I49" s="274">
        <f t="shared" si="8"/>
        <v>0</v>
      </c>
      <c r="J49" s="275">
        <f t="shared" si="8"/>
        <v>0</v>
      </c>
      <c r="K49" s="275">
        <f t="shared" si="8"/>
        <v>0</v>
      </c>
      <c r="L49" s="275">
        <f>IF(L52&lt;L53,L52,L53)</f>
        <v>0</v>
      </c>
      <c r="M49" s="332"/>
      <c r="N49" s="412"/>
      <c r="O49" s="412"/>
      <c r="P49" s="412"/>
    </row>
    <row r="50" spans="2:18">
      <c r="B50" s="283" t="s">
        <v>234</v>
      </c>
      <c r="C50" s="189"/>
      <c r="D50" s="252" t="s">
        <v>214</v>
      </c>
      <c r="E50" s="318"/>
      <c r="F50" s="277"/>
      <c r="G50" s="277"/>
      <c r="H50" s="277"/>
      <c r="I50" s="277"/>
      <c r="J50" s="278"/>
      <c r="K50" s="278"/>
      <c r="L50" s="278"/>
      <c r="M50" s="332"/>
      <c r="N50" s="412"/>
      <c r="O50" s="412"/>
      <c r="P50" s="412"/>
    </row>
    <row r="51" spans="2:18">
      <c r="B51" s="276"/>
      <c r="C51" s="189"/>
      <c r="D51" s="252" t="s">
        <v>215</v>
      </c>
      <c r="E51" s="318"/>
      <c r="F51" s="277"/>
      <c r="G51" s="277"/>
      <c r="H51" s="277"/>
      <c r="I51" s="277"/>
      <c r="J51" s="278"/>
      <c r="K51" s="278"/>
      <c r="L51" s="278"/>
      <c r="M51" s="332"/>
      <c r="N51" s="412"/>
      <c r="O51" s="412"/>
      <c r="P51" s="412"/>
    </row>
    <row r="52" spans="2:18">
      <c r="B52" s="276"/>
      <c r="C52" s="189"/>
      <c r="D52" s="295" t="s">
        <v>228</v>
      </c>
      <c r="E52" s="318"/>
      <c r="F52" s="277">
        <f t="shared" ref="F52:K52" si="9">+F44+F43+F61+F62</f>
        <v>1150</v>
      </c>
      <c r="G52" s="277">
        <f t="shared" si="9"/>
        <v>1050</v>
      </c>
      <c r="H52" s="277">
        <f t="shared" si="9"/>
        <v>0</v>
      </c>
      <c r="I52" s="277">
        <f t="shared" si="9"/>
        <v>0</v>
      </c>
      <c r="J52" s="277">
        <f t="shared" si="9"/>
        <v>0</v>
      </c>
      <c r="K52" s="303">
        <f t="shared" si="9"/>
        <v>2200</v>
      </c>
      <c r="L52" s="303">
        <f>+L44+L43+L61+L63</f>
        <v>2200</v>
      </c>
      <c r="M52" s="332"/>
      <c r="N52" s="412"/>
      <c r="O52" s="412"/>
      <c r="P52" s="412"/>
    </row>
    <row r="53" spans="2:18">
      <c r="B53" s="279"/>
      <c r="C53" s="130"/>
      <c r="D53" s="297" t="s">
        <v>229</v>
      </c>
      <c r="E53" s="331">
        <v>0.4</v>
      </c>
      <c r="F53" s="280">
        <f>+F7*$E$53</f>
        <v>1455.86</v>
      </c>
      <c r="G53" s="280">
        <f>+G7*$E$53</f>
        <v>28500</v>
      </c>
      <c r="H53" s="280">
        <f>+H7*$E$53</f>
        <v>0</v>
      </c>
      <c r="I53" s="280">
        <f>+I7*$E$53</f>
        <v>0</v>
      </c>
      <c r="J53" s="281">
        <f>+J7*$E$53</f>
        <v>0</v>
      </c>
      <c r="K53" s="281">
        <f>+K2*$E$53</f>
        <v>0</v>
      </c>
      <c r="L53" s="281">
        <f>+L2*$E$53</f>
        <v>0</v>
      </c>
      <c r="M53" s="332"/>
      <c r="N53" s="412"/>
      <c r="O53" s="412"/>
      <c r="P53" s="412"/>
    </row>
    <row r="54" spans="2:18">
      <c r="D54" s="251"/>
      <c r="E54" s="329"/>
    </row>
    <row r="55" spans="2:18">
      <c r="D55" s="251"/>
    </row>
    <row r="57" spans="2:18">
      <c r="B57" s="300" t="s">
        <v>242</v>
      </c>
      <c r="C57" s="272" t="s">
        <v>51</v>
      </c>
      <c r="D57" s="273"/>
      <c r="E57" s="274"/>
      <c r="F57" s="274"/>
      <c r="G57" s="274"/>
      <c r="H57" s="274"/>
      <c r="I57" s="274"/>
      <c r="J57" s="275"/>
      <c r="K57" s="275"/>
      <c r="L57" s="275"/>
    </row>
    <row r="58" spans="2:18">
      <c r="B58" s="279"/>
      <c r="C58" s="130"/>
      <c r="D58" s="296" t="s">
        <v>216</v>
      </c>
      <c r="E58" s="280"/>
      <c r="F58" s="280"/>
      <c r="G58" s="280"/>
      <c r="H58" s="280"/>
      <c r="I58" s="280"/>
      <c r="J58" s="281"/>
      <c r="K58" s="281"/>
      <c r="L58" s="281"/>
    </row>
    <row r="60" spans="2:18">
      <c r="B60" s="300" t="s">
        <v>243</v>
      </c>
      <c r="C60" s="345" t="s">
        <v>51</v>
      </c>
      <c r="D60" s="346"/>
      <c r="E60" s="347"/>
      <c r="F60" s="348">
        <f t="shared" ref="F60:K60" si="10">SUM(F61:F63)</f>
        <v>650</v>
      </c>
      <c r="G60" s="348">
        <f t="shared" si="10"/>
        <v>550</v>
      </c>
      <c r="H60" s="348">
        <f t="shared" si="10"/>
        <v>0</v>
      </c>
      <c r="I60" s="348">
        <f t="shared" si="10"/>
        <v>0</v>
      </c>
      <c r="J60" s="348">
        <f t="shared" si="10"/>
        <v>0</v>
      </c>
      <c r="K60" s="355">
        <f t="shared" si="10"/>
        <v>1200</v>
      </c>
      <c r="L60" s="355">
        <f>SUM(L61:L64)</f>
        <v>0</v>
      </c>
    </row>
    <row r="61" spans="2:18">
      <c r="B61" s="283" t="s">
        <v>232</v>
      </c>
      <c r="C61" s="189"/>
      <c r="D61" s="252" t="s">
        <v>259</v>
      </c>
      <c r="E61" s="329"/>
      <c r="F61" s="277">
        <f>SUM(F18+F23+F28)</f>
        <v>500</v>
      </c>
      <c r="G61" s="277">
        <f>SUM(G18+G23+G28)</f>
        <v>500</v>
      </c>
      <c r="H61" s="277">
        <f>SUM(H18+H23+H28)</f>
        <v>0</v>
      </c>
      <c r="I61" s="277">
        <f>SUM(I18+I23+I28)</f>
        <v>0</v>
      </c>
      <c r="J61" s="277">
        <f>SUM(J18+J23+J28)</f>
        <v>0</v>
      </c>
      <c r="K61" s="303">
        <f>SUM(F61:J61)</f>
        <v>1000</v>
      </c>
      <c r="L61" s="303">
        <f>+L18+L23+L28</f>
        <v>0</v>
      </c>
      <c r="M61" s="1">
        <f>+K61+L61</f>
        <v>1000</v>
      </c>
      <c r="N61" s="368"/>
    </row>
    <row r="62" spans="2:18">
      <c r="B62" s="276"/>
      <c r="C62" s="189"/>
      <c r="D62" s="252" t="s">
        <v>255</v>
      </c>
      <c r="E62" s="318">
        <v>20</v>
      </c>
      <c r="F62" s="277">
        <f>IF(F61&gt;0,($E$62*INSERIMENTO_DATI!C26),0)</f>
        <v>100</v>
      </c>
      <c r="G62" s="277">
        <f>IF(G61&gt;0,($E$62*INSERIMENTO_DATI!E26),0)</f>
        <v>0</v>
      </c>
      <c r="H62" s="277">
        <f>IF(H61&gt;0,($E$62*INSERIMENTO_DATI!G26),0)</f>
        <v>0</v>
      </c>
      <c r="I62" s="277">
        <f>IF(I61&gt;0,($E$62*INSERIMENTO_DATI!I26),0)</f>
        <v>0</v>
      </c>
      <c r="J62" s="277">
        <f>IF(J61&gt;0,($E$62*INSERIMENTO_DATI!K26),0)</f>
        <v>0</v>
      </c>
      <c r="K62" s="303">
        <f>SUM(F62:J62)</f>
        <v>100</v>
      </c>
      <c r="L62" s="303">
        <f>SUM(N62:R62)</f>
        <v>0</v>
      </c>
      <c r="M62" s="1">
        <f>+K62+L62</f>
        <v>100</v>
      </c>
      <c r="N62" s="359">
        <f>IF(F61=0,($E$62*INSERIMENTO_DATI!C26),0)</f>
        <v>0</v>
      </c>
      <c r="O62" s="359">
        <f>IF(G61=0,($E$62*INSERIMENTO_DATI!E26),0)</f>
        <v>0</v>
      </c>
      <c r="P62" s="359">
        <f>IF(H61=0,($E$62*INSERIMENTO_DATI!G26),0)</f>
        <v>0</v>
      </c>
      <c r="Q62" s="359">
        <f>IF(I61=0,($E$62*INSERIMENTO_DATI!I26),0)</f>
        <v>0</v>
      </c>
      <c r="R62" s="359">
        <f>IF(J61=0,($E$62*INSERIMENTO_DATI!K26),0)</f>
        <v>0</v>
      </c>
    </row>
    <row r="63" spans="2:18">
      <c r="B63" s="276"/>
      <c r="C63" s="189"/>
      <c r="D63" s="312" t="s">
        <v>263</v>
      </c>
      <c r="E63" s="330">
        <v>0.1</v>
      </c>
      <c r="F63" s="277">
        <f t="shared" ref="F63:L64" si="11">(+F61)*0.1</f>
        <v>50</v>
      </c>
      <c r="G63" s="277">
        <f t="shared" si="11"/>
        <v>50</v>
      </c>
      <c r="H63" s="277">
        <f t="shared" si="11"/>
        <v>0</v>
      </c>
      <c r="I63" s="277">
        <f t="shared" si="11"/>
        <v>0</v>
      </c>
      <c r="J63" s="277">
        <f t="shared" si="11"/>
        <v>0</v>
      </c>
      <c r="K63" s="303">
        <f t="shared" si="11"/>
        <v>100</v>
      </c>
      <c r="L63" s="303">
        <f t="shared" si="11"/>
        <v>0</v>
      </c>
      <c r="M63" s="1">
        <f>+K63+L63</f>
        <v>100</v>
      </c>
    </row>
    <row r="64" spans="2:18">
      <c r="B64" s="279"/>
      <c r="C64" s="130"/>
      <c r="D64" s="312" t="s">
        <v>262</v>
      </c>
      <c r="E64" s="330">
        <v>0.1</v>
      </c>
      <c r="F64" s="277">
        <f t="shared" si="11"/>
        <v>10</v>
      </c>
      <c r="G64" s="277">
        <f t="shared" si="11"/>
        <v>0</v>
      </c>
      <c r="H64" s="277">
        <f t="shared" si="11"/>
        <v>0</v>
      </c>
      <c r="I64" s="277">
        <f t="shared" si="11"/>
        <v>0</v>
      </c>
      <c r="J64" s="277">
        <f t="shared" si="11"/>
        <v>0</v>
      </c>
      <c r="K64" s="303">
        <f t="shared" si="11"/>
        <v>10</v>
      </c>
      <c r="L64" s="303">
        <f t="shared" si="11"/>
        <v>0</v>
      </c>
      <c r="M64" s="1">
        <f>+K64+L64</f>
        <v>10</v>
      </c>
    </row>
    <row r="66" spans="2:12">
      <c r="B66" s="300" t="s">
        <v>244</v>
      </c>
      <c r="C66" s="272" t="s">
        <v>51</v>
      </c>
      <c r="D66" s="282"/>
      <c r="E66" s="298"/>
      <c r="F66" s="298"/>
      <c r="G66" s="298"/>
      <c r="H66" s="298"/>
      <c r="I66" s="298"/>
      <c r="J66" s="299"/>
      <c r="K66" s="299"/>
      <c r="L66" s="299"/>
    </row>
    <row r="67" spans="2:12">
      <c r="B67" s="283" t="s">
        <v>233</v>
      </c>
      <c r="C67" s="189"/>
      <c r="D67" s="189" t="s">
        <v>218</v>
      </c>
      <c r="E67" s="277"/>
      <c r="F67" s="277"/>
      <c r="G67" s="277"/>
      <c r="H67" s="277"/>
      <c r="I67" s="277"/>
      <c r="J67" s="278"/>
      <c r="K67" s="278"/>
      <c r="L67" s="278"/>
    </row>
    <row r="68" spans="2:12">
      <c r="B68" s="279"/>
      <c r="C68" s="130"/>
      <c r="D68" s="130" t="s">
        <v>217</v>
      </c>
      <c r="E68" s="280"/>
      <c r="F68" s="280">
        <f t="shared" ref="F68:K68" si="12">+F16+F21+F26</f>
        <v>0</v>
      </c>
      <c r="G68" s="280">
        <f t="shared" si="12"/>
        <v>0</v>
      </c>
      <c r="H68" s="280">
        <f t="shared" si="12"/>
        <v>0</v>
      </c>
      <c r="I68" s="280">
        <f t="shared" si="12"/>
        <v>0</v>
      </c>
      <c r="J68" s="281">
        <f t="shared" si="12"/>
        <v>0</v>
      </c>
      <c r="K68" s="281">
        <f t="shared" si="12"/>
        <v>0</v>
      </c>
      <c r="L68" s="281"/>
    </row>
  </sheetData>
  <mergeCells count="3">
    <mergeCell ref="B13:C13"/>
    <mergeCell ref="Q4:Q7"/>
    <mergeCell ref="R4:R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0"/>
  <sheetViews>
    <sheetView workbookViewId="0">
      <selection activeCell="C26" sqref="C26"/>
    </sheetView>
  </sheetViews>
  <sheetFormatPr defaultRowHeight="12.75"/>
  <cols>
    <col min="1" max="1" width="3" style="58" customWidth="1"/>
    <col min="2" max="2" width="14.28515625" style="57" customWidth="1"/>
    <col min="3" max="3" width="76.5703125" style="58" customWidth="1"/>
    <col min="4" max="4" width="19.85546875" style="73" customWidth="1"/>
    <col min="5" max="5" width="17.140625" style="74" customWidth="1"/>
    <col min="6" max="7" width="18.28515625" style="58" customWidth="1"/>
    <col min="8" max="8" width="18" style="58" customWidth="1"/>
    <col min="9" max="9" width="18.42578125" style="58" customWidth="1"/>
    <col min="10" max="11" width="18.28515625" style="58" customWidth="1"/>
    <col min="12" max="12" width="17.85546875" style="58" customWidth="1"/>
    <col min="13" max="13" width="18.28515625" style="58" customWidth="1"/>
    <col min="14" max="16384" width="9.140625" style="58"/>
  </cols>
  <sheetData>
    <row r="3" spans="2:13" ht="20.25">
      <c r="C3" s="590" t="s">
        <v>53</v>
      </c>
      <c r="D3" s="590"/>
      <c r="E3" s="590"/>
    </row>
    <row r="4" spans="2:13" ht="19.5" thickBot="1">
      <c r="B4" s="71"/>
      <c r="C4" s="602" t="s">
        <v>54</v>
      </c>
      <c r="D4" s="602"/>
      <c r="E4" s="602"/>
    </row>
    <row r="5" spans="2:13" ht="15.75">
      <c r="C5" s="609" t="s">
        <v>56</v>
      </c>
      <c r="D5" s="609"/>
      <c r="E5" s="609"/>
    </row>
    <row r="6" spans="2:13" ht="19.5" thickBot="1">
      <c r="B6" s="121"/>
      <c r="C6" s="112" t="s">
        <v>55</v>
      </c>
      <c r="D6" s="591" t="s">
        <v>66</v>
      </c>
      <c r="E6" s="591"/>
      <c r="F6" s="602" t="s">
        <v>67</v>
      </c>
      <c r="G6" s="602"/>
      <c r="H6" s="602" t="s">
        <v>68</v>
      </c>
      <c r="I6" s="602"/>
      <c r="J6" s="602" t="s">
        <v>69</v>
      </c>
      <c r="K6" s="602"/>
      <c r="L6" s="602" t="s">
        <v>70</v>
      </c>
      <c r="M6" s="602"/>
    </row>
    <row r="7" spans="2:13" ht="19.5" thickBot="1">
      <c r="B7" s="120"/>
      <c r="C7" s="118" t="s">
        <v>98</v>
      </c>
      <c r="D7" s="119"/>
      <c r="E7" s="122">
        <f>INSERIMENTO_DATI!$C$11</f>
        <v>3639.66</v>
      </c>
      <c r="F7" s="80"/>
      <c r="G7" s="122">
        <f>INSERIMENTO_DATI!$E$11</f>
        <v>71250</v>
      </c>
      <c r="H7" s="80"/>
      <c r="I7" s="122">
        <f>INSERIMENTO_DATI!$G$11</f>
        <v>0</v>
      </c>
      <c r="J7" s="80"/>
      <c r="K7" s="122">
        <f>INSERIMENTO_DATI!$I$11</f>
        <v>0</v>
      </c>
      <c r="L7" s="80"/>
      <c r="M7" s="122">
        <f>INSERIMENTO_DATI!$K$11</f>
        <v>0</v>
      </c>
    </row>
    <row r="8" spans="2:13" ht="16.5" thickBot="1">
      <c r="B8" s="87"/>
      <c r="C8" s="81"/>
      <c r="D8" s="82"/>
      <c r="E8" s="83"/>
      <c r="F8" s="82"/>
      <c r="G8" s="83"/>
      <c r="H8" s="82"/>
      <c r="I8" s="83"/>
      <c r="J8" s="82"/>
      <c r="K8" s="83"/>
      <c r="L8" s="82"/>
      <c r="M8" s="83"/>
    </row>
    <row r="9" spans="2:13" ht="16.5" thickBot="1">
      <c r="B9" s="96" t="s">
        <v>39</v>
      </c>
      <c r="C9" s="79" t="s">
        <v>48</v>
      </c>
      <c r="D9" s="90" t="s">
        <v>34</v>
      </c>
      <c r="E9" s="123" t="str">
        <f>IF(INSERIMENTO_DATI!$D$7="si","","x")</f>
        <v>x</v>
      </c>
      <c r="F9" s="90" t="s">
        <v>34</v>
      </c>
      <c r="G9" s="123" t="str">
        <f>IF(INSERIMENTO_DATI!$D$7="si","","x")</f>
        <v>x</v>
      </c>
      <c r="H9" s="90" t="s">
        <v>34</v>
      </c>
      <c r="I9" s="123" t="str">
        <f>IF(INSERIMENTO_DATI!$D$7="si","","x")</f>
        <v>x</v>
      </c>
      <c r="J9" s="90" t="s">
        <v>34</v>
      </c>
      <c r="K9" s="123" t="str">
        <f>IF(INSERIMENTO_DATI!$D$7="si","","x")</f>
        <v>x</v>
      </c>
      <c r="L9" s="90" t="s">
        <v>34</v>
      </c>
      <c r="M9" s="123" t="str">
        <f>IF(INSERIMENTO_DATI!$D$7="si","","x")</f>
        <v>x</v>
      </c>
    </row>
    <row r="10" spans="2:13" ht="16.5" thickBot="1">
      <c r="B10" s="97"/>
      <c r="C10" s="99"/>
      <c r="D10" s="59"/>
      <c r="E10" s="68"/>
      <c r="F10" s="59"/>
      <c r="G10" s="68"/>
      <c r="H10" s="59"/>
      <c r="I10" s="68"/>
      <c r="J10" s="59"/>
      <c r="K10" s="68"/>
      <c r="L10" s="59"/>
      <c r="M10" s="68"/>
    </row>
    <row r="11" spans="2:13" ht="16.5" thickBot="1">
      <c r="B11" s="615" t="s">
        <v>40</v>
      </c>
      <c r="C11" s="84" t="s">
        <v>33</v>
      </c>
      <c r="D11" s="91"/>
      <c r="E11" s="92"/>
      <c r="F11" s="91"/>
      <c r="G11" s="92"/>
      <c r="H11" s="91"/>
      <c r="I11" s="92"/>
      <c r="J11" s="91"/>
      <c r="K11" s="92"/>
      <c r="L11" s="91"/>
      <c r="M11" s="92"/>
    </row>
    <row r="12" spans="2:13">
      <c r="B12" s="616"/>
      <c r="C12" s="610" t="s">
        <v>35</v>
      </c>
      <c r="D12" s="598" t="s">
        <v>34</v>
      </c>
      <c r="E12" s="600" t="str">
        <f>IF(AND(INSERIMENTO_DATI!$D$7="si",INSERIMENTO_DATI!$I$7="prima"),"x","")</f>
        <v/>
      </c>
      <c r="F12" s="598" t="s">
        <v>34</v>
      </c>
      <c r="G12" s="600" t="str">
        <f>IF(AND(INSERIMENTO_DATI!$D$7="si",INSERIMENTO_DATI!$I$7="prima"),"x","")</f>
        <v/>
      </c>
      <c r="H12" s="598" t="s">
        <v>34</v>
      </c>
      <c r="I12" s="600" t="str">
        <f>IF(AND(INSERIMENTO_DATI!$D$7="si",INSERIMENTO_DATI!$I$7="prima"),"x","")</f>
        <v/>
      </c>
      <c r="J12" s="598" t="s">
        <v>34</v>
      </c>
      <c r="K12" s="600" t="str">
        <f>IF(AND(INSERIMENTO_DATI!$D$7="si",INSERIMENTO_DATI!$I$7="prima"),"x","")</f>
        <v/>
      </c>
      <c r="L12" s="598" t="s">
        <v>34</v>
      </c>
      <c r="M12" s="600" t="str">
        <f>IF(AND(INSERIMENTO_DATI!$D$7="si",INSERIMENTO_DATI!$I$7="prima"),"x","")</f>
        <v/>
      </c>
    </row>
    <row r="13" spans="2:13" ht="15" customHeight="1" thickBot="1">
      <c r="B13" s="616"/>
      <c r="C13" s="611"/>
      <c r="D13" s="599"/>
      <c r="E13" s="601"/>
      <c r="F13" s="599"/>
      <c r="G13" s="601"/>
      <c r="H13" s="599"/>
      <c r="I13" s="601"/>
      <c r="J13" s="599"/>
      <c r="K13" s="601"/>
      <c r="L13" s="599"/>
      <c r="M13" s="601"/>
    </row>
    <row r="14" spans="2:13">
      <c r="B14" s="616"/>
      <c r="C14" s="610" t="s">
        <v>36</v>
      </c>
      <c r="D14" s="598" t="s">
        <v>34</v>
      </c>
      <c r="E14" s="600" t="str">
        <f>IF(AND(INSERIMENTO_DATI!$D$7="si",INSERIMENTO_DATI!$I$7="dopo"),"x","")</f>
        <v/>
      </c>
      <c r="F14" s="598" t="s">
        <v>34</v>
      </c>
      <c r="G14" s="600" t="str">
        <f>IF(AND(INSERIMENTO_DATI!$D$7="si",INSERIMENTO_DATI!$I$7="dopo"),"x","")</f>
        <v/>
      </c>
      <c r="H14" s="598" t="s">
        <v>34</v>
      </c>
      <c r="I14" s="600" t="str">
        <f>IF(AND(INSERIMENTO_DATI!$D$7="si",INSERIMENTO_DATI!$I$7="dopo"),"x","")</f>
        <v/>
      </c>
      <c r="J14" s="598" t="s">
        <v>34</v>
      </c>
      <c r="K14" s="600" t="str">
        <f>IF(AND(INSERIMENTO_DATI!$D$7="si",INSERIMENTO_DATI!$I$7="dopo"),"x","")</f>
        <v/>
      </c>
      <c r="L14" s="598" t="s">
        <v>34</v>
      </c>
      <c r="M14" s="600" t="str">
        <f>IF(AND(INSERIMENTO_DATI!$D$7="si",INSERIMENTO_DATI!$I$7="dopo"),"x","")</f>
        <v/>
      </c>
    </row>
    <row r="15" spans="2:13" ht="15" customHeight="1" thickBot="1">
      <c r="B15" s="617"/>
      <c r="C15" s="611"/>
      <c r="D15" s="599"/>
      <c r="E15" s="601"/>
      <c r="F15" s="599"/>
      <c r="G15" s="601"/>
      <c r="H15" s="599"/>
      <c r="I15" s="601"/>
      <c r="J15" s="599"/>
      <c r="K15" s="601"/>
      <c r="L15" s="599"/>
      <c r="M15" s="601"/>
    </row>
    <row r="16" spans="2:13" ht="16.5" thickBot="1">
      <c r="B16" s="97"/>
      <c r="C16" s="99"/>
      <c r="D16" s="59"/>
      <c r="E16" s="66"/>
      <c r="F16" s="59"/>
      <c r="G16" s="66"/>
      <c r="H16" s="59"/>
      <c r="I16" s="66"/>
      <c r="J16" s="59"/>
      <c r="K16" s="66"/>
      <c r="L16" s="59"/>
      <c r="M16" s="66"/>
    </row>
    <row r="17" spans="2:13" ht="16.5" thickBot="1">
      <c r="B17" s="96" t="s">
        <v>41</v>
      </c>
      <c r="C17" s="79" t="s">
        <v>38</v>
      </c>
      <c r="D17" s="93" t="s">
        <v>99</v>
      </c>
      <c r="E17" s="124" t="str">
        <f>IF(INSERIMENTO_DATI!$C$15="occupato/terzi","",IF(INSERIMENTO_DATI!$C$15="occupato/esecutato","y","x"))</f>
        <v>x</v>
      </c>
      <c r="F17" s="93" t="s">
        <v>34</v>
      </c>
      <c r="G17" s="124" t="str">
        <f>IF(INSERIMENTO_DATI!$E$15="occupato/terzi","",IF(INSERIMENTO_DATI!$E$15="occupato/esecutato","y","x"))</f>
        <v>x</v>
      </c>
      <c r="H17" s="93" t="s">
        <v>34</v>
      </c>
      <c r="I17" s="124" t="str">
        <f>IF(INSERIMENTO_DATI!$G$15="occupato/terzi","",IF(INSERIMENTO_DATI!$G$15="occupato/esecutato","y","x"))</f>
        <v>x</v>
      </c>
      <c r="J17" s="93" t="s">
        <v>34</v>
      </c>
      <c r="K17" s="124" t="str">
        <f>IF(INSERIMENTO_DATI!$I$15="occupato/terzi","",IF(INSERIMENTO_DATI!$I$15="occupato/esecutato","y","x"))</f>
        <v>x</v>
      </c>
      <c r="L17" s="93" t="s">
        <v>34</v>
      </c>
      <c r="M17" s="124" t="str">
        <f>IF(INSERIMENTO_DATI!$K$15="occupato/terzi","",IF(INSERIMENTO_DATI!$K$15="occupato/esecutato","y","x"))</f>
        <v>x</v>
      </c>
    </row>
    <row r="18" spans="2:13" ht="16.5" thickBot="1">
      <c r="B18" s="97"/>
      <c r="C18" s="100"/>
      <c r="D18" s="68"/>
      <c r="E18" s="66"/>
      <c r="F18" s="68"/>
      <c r="G18" s="66"/>
      <c r="H18" s="68"/>
      <c r="I18" s="66"/>
      <c r="J18" s="68"/>
      <c r="K18" s="66"/>
      <c r="L18" s="68"/>
      <c r="M18" s="66"/>
    </row>
    <row r="19" spans="2:13" ht="16.5" thickBot="1">
      <c r="B19" s="96" t="s">
        <v>42</v>
      </c>
      <c r="C19" s="79" t="s">
        <v>50</v>
      </c>
      <c r="D19" s="93" t="s">
        <v>34</v>
      </c>
      <c r="E19" s="124" t="str">
        <f>IF(INSERIMENTO_DATI!$D$22="si","x","")</f>
        <v/>
      </c>
      <c r="F19" s="93" t="s">
        <v>34</v>
      </c>
      <c r="G19" s="124" t="str">
        <f>IF(INSERIMENTO_DATI!$F$22="si","x","")</f>
        <v/>
      </c>
      <c r="H19" s="93" t="s">
        <v>34</v>
      </c>
      <c r="I19" s="124" t="str">
        <f>IF(INSERIMENTO_DATI!$H$22="si","x","")</f>
        <v/>
      </c>
      <c r="J19" s="93" t="s">
        <v>34</v>
      </c>
      <c r="K19" s="124" t="str">
        <f>IF(INSERIMENTO_DATI!$J$22="si","x","")</f>
        <v/>
      </c>
      <c r="L19" s="93" t="s">
        <v>34</v>
      </c>
      <c r="M19" s="124" t="str">
        <f>IF(INSERIMENTO_DATI!$L$22="si","x","")</f>
        <v/>
      </c>
    </row>
    <row r="20" spans="2:13" ht="16.5" thickBot="1">
      <c r="B20" s="97"/>
      <c r="C20" s="100"/>
      <c r="D20" s="68"/>
      <c r="E20" s="66"/>
      <c r="F20" s="68"/>
      <c r="G20" s="66"/>
      <c r="H20" s="68"/>
      <c r="I20" s="66"/>
      <c r="J20" s="68"/>
      <c r="K20" s="66"/>
      <c r="L20" s="68"/>
      <c r="M20" s="66"/>
    </row>
    <row r="21" spans="2:13" ht="16.5" thickBot="1">
      <c r="B21" s="96" t="s">
        <v>37</v>
      </c>
      <c r="C21" s="79" t="s">
        <v>44</v>
      </c>
      <c r="D21" s="93" t="s">
        <v>34</v>
      </c>
      <c r="E21" s="124" t="str">
        <f>IF(INSERIMENTO_DATI!$C$23&gt;0,"x","")</f>
        <v/>
      </c>
      <c r="F21" s="93" t="s">
        <v>34</v>
      </c>
      <c r="G21" s="124" t="str">
        <f>IF(INSERIMENTO_DATI!$E$23&gt;0,"x","")</f>
        <v/>
      </c>
      <c r="H21" s="93" t="s">
        <v>34</v>
      </c>
      <c r="I21" s="124" t="str">
        <f>IF(INSERIMENTO_DATI!$G$23&gt;0,"x","")</f>
        <v/>
      </c>
      <c r="J21" s="93" t="s">
        <v>34</v>
      </c>
      <c r="K21" s="124" t="str">
        <f>IF(INSERIMENTO_DATI!$I$23&gt;0,"x","")</f>
        <v/>
      </c>
      <c r="L21" s="93" t="s">
        <v>34</v>
      </c>
      <c r="M21" s="124" t="str">
        <f>IF(INSERIMENTO_DATI!$K$23&gt;0,"x","")</f>
        <v/>
      </c>
    </row>
    <row r="22" spans="2:13" ht="16.5" thickBot="1">
      <c r="B22" s="98"/>
      <c r="C22" s="85" t="s">
        <v>47</v>
      </c>
      <c r="D22" s="94" t="s">
        <v>43</v>
      </c>
      <c r="E22" s="124" t="str">
        <f>IF(INSERIMENTO_DATI!$C$23&gt;0,INSERIMENTO_DATI!$C$23,"")</f>
        <v/>
      </c>
      <c r="F22" s="94" t="s">
        <v>43</v>
      </c>
      <c r="G22" s="124" t="str">
        <f>IF(INSERIMENTO_DATI!$E$23&gt;0,INSERIMENTO_DATI!$E$23,"")</f>
        <v/>
      </c>
      <c r="H22" s="94" t="s">
        <v>43</v>
      </c>
      <c r="I22" s="124" t="str">
        <f>IF(INSERIMENTO_DATI!$G$23&gt;0,INSERIMENTO_DATI!$G$23,"")</f>
        <v/>
      </c>
      <c r="J22" s="94" t="s">
        <v>43</v>
      </c>
      <c r="K22" s="124" t="str">
        <f>IF(INSERIMENTO_DATI!$I$23&gt;0,INSERIMENTO_DATI!$I$23,"")</f>
        <v/>
      </c>
      <c r="L22" s="94" t="s">
        <v>43</v>
      </c>
      <c r="M22" s="124" t="str">
        <f>IF(INSERIMENTO_DATI!$K$23&gt;0,INSERIMENTO_DATI!$K$23,"")</f>
        <v/>
      </c>
    </row>
    <row r="23" spans="2:13" ht="16.5" thickBot="1">
      <c r="B23" s="97"/>
      <c r="C23" s="100"/>
      <c r="D23" s="68"/>
      <c r="E23" s="66"/>
      <c r="F23" s="68"/>
      <c r="G23" s="66"/>
      <c r="H23" s="68"/>
      <c r="I23" s="66"/>
      <c r="J23" s="68"/>
      <c r="K23" s="66"/>
      <c r="L23" s="68"/>
      <c r="M23" s="66"/>
    </row>
    <row r="24" spans="2:13" ht="16.5" thickBot="1">
      <c r="B24" s="612" t="s">
        <v>45</v>
      </c>
      <c r="C24" s="86" t="s">
        <v>46</v>
      </c>
      <c r="D24" s="603" t="s">
        <v>117</v>
      </c>
      <c r="E24" s="606" t="str">
        <f>IF(AND(INSERIMENTO_DATI!$C$21&gt;0,INSERIMENTO_DATI!$C$21&lt;2),"a",IF(AND(INSERIMENTO_DATI!$C$21&gt;1,INSERIMENTO_DATI!$C$21&lt;3),"b",IF(AND(INSERIMENTO_DATI!$C$21&gt;2,INSERIMENTO_DATI!$C$21&lt;4),"c",IF(AND(INSERIMENTO_DATI!$C$21&gt;3,INSERIMENTO_DATI!$C$21&lt;5),"d",IF(INSERIMENTO_DATI!$C$21=5,"d","")))))</f>
        <v/>
      </c>
      <c r="F24" s="603" t="s">
        <v>117</v>
      </c>
      <c r="G24" s="606" t="str">
        <f>IF(AND(INSERIMENTO_DATI!$E$21&gt;0,INSERIMENTO_DATI!$E$21&lt;2),"a",IF(AND(INSERIMENTO_DATI!$E$21&gt;1,INSERIMENTO_DATI!$E$21&lt;3),"b",IF(AND(INSERIMENTO_DATI!$E$21&gt;2,INSERIMENTO_DATI!$E$21&lt;4),"c",IF(AND(INSERIMENTO_DATI!$E$21&gt;3,INSERIMENTO_DATI!$E$21&lt;5),"d",IF(INSERIMENTO_DATI!$E$21=5,"d","")))))</f>
        <v/>
      </c>
      <c r="H24" s="603" t="s">
        <v>117</v>
      </c>
      <c r="I24" s="606" t="str">
        <f>IF(AND(INSERIMENTO_DATI!$G$21&gt;0,INSERIMENTO_DATI!$G$21&lt;2),"a",IF(AND(INSERIMENTO_DATI!$G$21&gt;1,INSERIMENTO_DATI!$G$21&lt;3),"b",IF(AND(INSERIMENTO_DATI!$G$21&gt;2,INSERIMENTO_DATI!$G$21&lt;4),"c",IF(AND(INSERIMENTO_DATI!$G$21&gt;3,INSERIMENTO_DATI!$G$21&lt;5),"d",IF(INSERIMENTO_DATI!$G$21=5,"d","")))))</f>
        <v/>
      </c>
      <c r="J24" s="603" t="s">
        <v>117</v>
      </c>
      <c r="K24" s="606" t="str">
        <f>IF(AND(INSERIMENTO_DATI!$I$21&gt;0,INSERIMENTO_DATI!$I$21&lt;2),"a",IF(AND(INSERIMENTO_DATI!$I$21&gt;1,INSERIMENTO_DATI!$I$21&lt;3),"b",IF(AND(INSERIMENTO_DATI!$I$21&gt;2,INSERIMENTO_DATI!$I$21&lt;4),"c",IF(AND(INSERIMENTO_DATI!$I$21&gt;3,INSERIMENTO_DATI!$I$21&lt;5),"d",IF(INSERIMENTO_DATI!$I$21=5,"d","")))))</f>
        <v/>
      </c>
      <c r="L24" s="603" t="s">
        <v>117</v>
      </c>
      <c r="M24" s="606" t="str">
        <f>IF(AND(INSERIMENTO_DATI!$K$21&gt;0,INSERIMENTO_DATI!$K$21&lt;2),"a",IF(AND(INSERIMENTO_DATI!$K$21&gt;1,INSERIMENTO_DATI!$K$21&lt;3),"b",IF(AND(INSERIMENTO_DATI!$K$21&gt;2,INSERIMENTO_DATI!$K$21&lt;4),"c",IF(AND(INSERIMENTO_DATI!$K$21&gt;3,INSERIMENTO_DATI!$K$21&lt;5),"d",IF(INSERIMENTO_DATI!$K$21=5,"d","")))))</f>
        <v/>
      </c>
    </row>
    <row r="25" spans="2:13" ht="14.45" customHeight="1">
      <c r="B25" s="613"/>
      <c r="C25" s="88" t="s">
        <v>10</v>
      </c>
      <c r="D25" s="604"/>
      <c r="E25" s="607"/>
      <c r="F25" s="604"/>
      <c r="G25" s="607"/>
      <c r="H25" s="604"/>
      <c r="I25" s="607"/>
      <c r="J25" s="604"/>
      <c r="K25" s="607"/>
      <c r="L25" s="604"/>
      <c r="M25" s="607"/>
    </row>
    <row r="26" spans="2:13" ht="14.45" customHeight="1">
      <c r="B26" s="613"/>
      <c r="C26" s="88" t="s">
        <v>11</v>
      </c>
      <c r="D26" s="604"/>
      <c r="E26" s="607"/>
      <c r="F26" s="604"/>
      <c r="G26" s="607"/>
      <c r="H26" s="604"/>
      <c r="I26" s="607"/>
      <c r="J26" s="604"/>
      <c r="K26" s="607"/>
      <c r="L26" s="604"/>
      <c r="M26" s="607"/>
    </row>
    <row r="27" spans="2:13" ht="14.45" customHeight="1">
      <c r="B27" s="613"/>
      <c r="C27" s="88" t="s">
        <v>12</v>
      </c>
      <c r="D27" s="604"/>
      <c r="E27" s="607"/>
      <c r="F27" s="604"/>
      <c r="G27" s="607"/>
      <c r="H27" s="604"/>
      <c r="I27" s="607"/>
      <c r="J27" s="604"/>
      <c r="K27" s="607"/>
      <c r="L27" s="604"/>
      <c r="M27" s="607"/>
    </row>
    <row r="28" spans="2:13" ht="14.45" customHeight="1">
      <c r="B28" s="613"/>
      <c r="C28" s="88" t="s">
        <v>13</v>
      </c>
      <c r="D28" s="604"/>
      <c r="E28" s="607"/>
      <c r="F28" s="604"/>
      <c r="G28" s="607"/>
      <c r="H28" s="604"/>
      <c r="I28" s="607"/>
      <c r="J28" s="604"/>
      <c r="K28" s="607"/>
      <c r="L28" s="604"/>
      <c r="M28" s="607"/>
    </row>
    <row r="29" spans="2:13" ht="15" customHeight="1" thickBot="1">
      <c r="B29" s="614"/>
      <c r="C29" s="89" t="s">
        <v>14</v>
      </c>
      <c r="D29" s="605"/>
      <c r="E29" s="608"/>
      <c r="F29" s="605"/>
      <c r="G29" s="608"/>
      <c r="H29" s="605"/>
      <c r="I29" s="608"/>
      <c r="J29" s="605"/>
      <c r="K29" s="608"/>
      <c r="L29" s="605"/>
      <c r="M29" s="608"/>
    </row>
    <row r="30" spans="2:13">
      <c r="C30" s="99"/>
    </row>
  </sheetData>
  <sheetProtection password="C71E" sheet="1" selectLockedCells="1"/>
  <mergeCells count="42">
    <mergeCell ref="B24:B29"/>
    <mergeCell ref="B11:B15"/>
    <mergeCell ref="D24:D29"/>
    <mergeCell ref="E24:E29"/>
    <mergeCell ref="C3:E3"/>
    <mergeCell ref="D12:D13"/>
    <mergeCell ref="E12:E13"/>
    <mergeCell ref="D14:D15"/>
    <mergeCell ref="E14:E15"/>
    <mergeCell ref="C4:E4"/>
    <mergeCell ref="C5:E5"/>
    <mergeCell ref="D6:E6"/>
    <mergeCell ref="C12:C13"/>
    <mergeCell ref="C14:C15"/>
    <mergeCell ref="L24:L29"/>
    <mergeCell ref="M24:M29"/>
    <mergeCell ref="F12:F13"/>
    <mergeCell ref="G12:G13"/>
    <mergeCell ref="F14:F15"/>
    <mergeCell ref="G14:G15"/>
    <mergeCell ref="F24:F29"/>
    <mergeCell ref="G24:G29"/>
    <mergeCell ref="J24:J29"/>
    <mergeCell ref="K24:K29"/>
    <mergeCell ref="H14:H15"/>
    <mergeCell ref="I14:I15"/>
    <mergeCell ref="H24:H29"/>
    <mergeCell ref="I24:I29"/>
    <mergeCell ref="L6:M6"/>
    <mergeCell ref="J14:J15"/>
    <mergeCell ref="K14:K15"/>
    <mergeCell ref="L14:L15"/>
    <mergeCell ref="M14:M15"/>
    <mergeCell ref="L12:L13"/>
    <mergeCell ref="M12:M13"/>
    <mergeCell ref="H12:H13"/>
    <mergeCell ref="I12:I13"/>
    <mergeCell ref="J12:J13"/>
    <mergeCell ref="K12:K13"/>
    <mergeCell ref="F6:G6"/>
    <mergeCell ref="H6:I6"/>
    <mergeCell ref="J6:K6"/>
  </mergeCells>
  <phoneticPr fontId="2" type="noConversion"/>
  <pageMargins left="1.07" right="0.75" top="0.7" bottom="1" header="0.5" footer="0.5"/>
  <pageSetup paperSize="9"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opLeftCell="A4" workbookViewId="0">
      <selection activeCell="D33" sqref="D33"/>
    </sheetView>
  </sheetViews>
  <sheetFormatPr defaultRowHeight="12.75"/>
  <cols>
    <col min="1" max="1" width="5" style="58" customWidth="1"/>
    <col min="2" max="2" width="13.5703125" style="57" customWidth="1"/>
    <col min="3" max="3" width="80" style="58" customWidth="1"/>
    <col min="4" max="4" width="18.85546875" style="73" customWidth="1"/>
    <col min="5" max="5" width="17.140625" style="74" customWidth="1"/>
    <col min="6" max="6" width="18.140625" style="58" customWidth="1"/>
    <col min="7" max="7" width="18" style="58" customWidth="1"/>
    <col min="8" max="8" width="18.140625" style="58" customWidth="1"/>
    <col min="9" max="10" width="18.28515625" style="58" customWidth="1"/>
    <col min="11" max="11" width="18.140625" style="58" customWidth="1"/>
    <col min="12" max="12" width="18.5703125" style="58" customWidth="1"/>
    <col min="13" max="13" width="18.28515625" style="58" customWidth="1"/>
    <col min="14" max="16384" width="9.140625" style="58"/>
  </cols>
  <sheetData>
    <row r="2" spans="2:13" ht="20.25">
      <c r="C2" s="590" t="s">
        <v>53</v>
      </c>
      <c r="D2" s="590"/>
      <c r="E2" s="590"/>
    </row>
    <row r="3" spans="2:13" ht="19.5" thickBot="1">
      <c r="B3" s="71"/>
      <c r="C3" s="602" t="s">
        <v>54</v>
      </c>
      <c r="D3" s="602"/>
      <c r="E3" s="602"/>
    </row>
    <row r="4" spans="2:13" ht="19.5" thickBot="1">
      <c r="B4" s="627" t="s">
        <v>57</v>
      </c>
      <c r="C4" s="628"/>
      <c r="D4" s="628"/>
      <c r="E4" s="629"/>
    </row>
    <row r="5" spans="2:13" ht="15.75">
      <c r="B5" s="634" t="s">
        <v>58</v>
      </c>
      <c r="C5" s="634"/>
      <c r="D5" s="634"/>
      <c r="E5" s="634"/>
    </row>
    <row r="6" spans="2:13" ht="18.75">
      <c r="C6" s="69"/>
      <c r="D6" s="618" t="s">
        <v>66</v>
      </c>
      <c r="E6" s="618"/>
      <c r="F6" s="618" t="s">
        <v>67</v>
      </c>
      <c r="G6" s="618"/>
      <c r="H6" s="618" t="s">
        <v>68</v>
      </c>
      <c r="I6" s="618"/>
      <c r="J6" s="618" t="s">
        <v>69</v>
      </c>
      <c r="K6" s="618"/>
      <c r="L6" s="618" t="s">
        <v>70</v>
      </c>
      <c r="M6" s="618"/>
    </row>
    <row r="7" spans="2:13" ht="13.5" thickBot="1">
      <c r="D7" s="72" t="s">
        <v>111</v>
      </c>
      <c r="E7" s="72" t="s">
        <v>110</v>
      </c>
      <c r="F7" s="72" t="s">
        <v>111</v>
      </c>
      <c r="G7" s="72" t="s">
        <v>110</v>
      </c>
      <c r="H7" s="72" t="s">
        <v>111</v>
      </c>
      <c r="I7" s="72" t="s">
        <v>110</v>
      </c>
      <c r="J7" s="72" t="s">
        <v>111</v>
      </c>
      <c r="K7" s="72" t="s">
        <v>110</v>
      </c>
      <c r="L7" s="72" t="s">
        <v>111</v>
      </c>
      <c r="M7" s="72" t="s">
        <v>110</v>
      </c>
    </row>
    <row r="8" spans="2:13" ht="16.5" thickBot="1">
      <c r="B8" s="77" t="s">
        <v>39</v>
      </c>
      <c r="C8" s="55" t="s">
        <v>49</v>
      </c>
      <c r="D8" s="187">
        <f>'DM 80 ALL 1'!$F$22</f>
        <v>109.19</v>
      </c>
      <c r="E8" s="161">
        <f>+IF('DM 80'!$E$9="x",1,"")</f>
        <v>1</v>
      </c>
      <c r="F8" s="56">
        <f>'DM 80 ALL 1'!$G$22</f>
        <v>1212.5</v>
      </c>
      <c r="G8" s="161">
        <f>+IF('DM 80'!$G$9="x",1,"")</f>
        <v>1</v>
      </c>
      <c r="H8" s="56">
        <f>'DM 80 ALL 1'!$H$22</f>
        <v>0</v>
      </c>
      <c r="I8" s="161">
        <f>+IF('DM 80'!$I$9="x",1,"")</f>
        <v>1</v>
      </c>
      <c r="J8" s="56">
        <f>'DM 80 ALL 1'!$I$22</f>
        <v>0</v>
      </c>
      <c r="K8" s="161">
        <f>+IF('DM 80'!$K$9="x",1,"")</f>
        <v>1</v>
      </c>
      <c r="L8" s="56">
        <f>'DM 80 ALL 1'!$J$22</f>
        <v>0</v>
      </c>
      <c r="M8" s="161">
        <f>+IF('DM 80'!$M$9="x",1,"")</f>
        <v>1</v>
      </c>
    </row>
    <row r="9" spans="2:13" ht="15.75">
      <c r="B9" s="78"/>
      <c r="C9" s="145" t="s">
        <v>115</v>
      </c>
      <c r="D9" s="159">
        <f>IF(AND($D$8&gt;0,$D$8&lt;250),250,"")</f>
        <v>250</v>
      </c>
      <c r="E9" s="60"/>
      <c r="F9" s="59" t="str">
        <f>IF(AND($F$8&gt;0,$F$8&lt;250),250,"")</f>
        <v/>
      </c>
      <c r="G9" s="60"/>
      <c r="H9" s="59" t="str">
        <f>IF(AND($H$8&gt;0,$H$8&lt;250),250,"")</f>
        <v/>
      </c>
      <c r="I9" s="60"/>
      <c r="J9" s="59" t="str">
        <f>IF(AND($J$8&gt;0,$J$8&lt;250),250,"")</f>
        <v/>
      </c>
      <c r="K9" s="60"/>
      <c r="L9" s="59" t="str">
        <f>IF(AND($L$8&gt;0,$L$8&lt;250),250,"")</f>
        <v/>
      </c>
      <c r="M9" s="60"/>
    </row>
    <row r="10" spans="2:13" ht="16.5" thickBot="1">
      <c r="B10" s="78"/>
      <c r="C10" s="145" t="s">
        <v>112</v>
      </c>
      <c r="D10" s="160">
        <f>IF($D$9&lt;&gt;"",$D$9,$D$8)</f>
        <v>250</v>
      </c>
      <c r="E10" s="60"/>
      <c r="F10" s="160">
        <f>IF($F$9&lt;&gt;"",$F$9,$F$8)</f>
        <v>1212.5</v>
      </c>
      <c r="G10" s="60"/>
      <c r="H10" s="160">
        <f>IF($H$9&lt;&gt;"",$H$9,$H$8)</f>
        <v>0</v>
      </c>
      <c r="I10" s="60"/>
      <c r="J10" s="160">
        <f>IF($J$9&lt;&gt;"",$J$9,$J$8)</f>
        <v>0</v>
      </c>
      <c r="K10" s="60"/>
      <c r="L10" s="160">
        <f>IF($L$9&lt;&gt;"",$L$9,$L$8)</f>
        <v>0</v>
      </c>
      <c r="M10" s="60"/>
    </row>
    <row r="11" spans="2:13" ht="16.5" thickBot="1">
      <c r="B11" s="630" t="s">
        <v>40</v>
      </c>
      <c r="C11" s="61" t="s">
        <v>33</v>
      </c>
      <c r="D11" s="62"/>
      <c r="E11" s="63"/>
      <c r="F11" s="62"/>
      <c r="G11" s="63"/>
      <c r="H11" s="62"/>
      <c r="I11" s="63"/>
      <c r="J11" s="62"/>
      <c r="K11" s="63"/>
      <c r="L11" s="62"/>
      <c r="M11" s="63"/>
    </row>
    <row r="12" spans="2:13" ht="14.45" customHeight="1">
      <c r="B12" s="631"/>
      <c r="C12" s="638" t="s">
        <v>35</v>
      </c>
      <c r="D12" s="619">
        <f>+IF('DM 80'!$E$12&lt;&gt;"X",0,IF(INSERIMENTO_DATI!$C$8="si",$D$10*0.3,IF(INSERIMENTO_DATI!$C$27&lt;1,$D$10*0.1,$D$10*0.2)))</f>
        <v>0</v>
      </c>
      <c r="E12" s="635" t="str">
        <f>+IF('DM 80'!$E$12&lt;&gt;"X","",IF(INSERIMENTO_DATI!$C$8="si",0.3,IF(INSERIMENTO_DATI!$C$27&lt;1,0.1,0.2)))</f>
        <v/>
      </c>
      <c r="F12" s="619">
        <f>+IF('DM 80'!$G$12&lt;&gt;"X",0,IF(INSERIMENTO_DATI!$C$8="si",$F$10*0.3,IF(INSERIMENTO_DATI!$C$27&lt;1,$F$10*0.1,$F$10*0.2)))</f>
        <v>0</v>
      </c>
      <c r="G12" s="621" t="str">
        <f>+IF('DM 80'!$G$12&lt;&gt;"X","",IF(INSERIMENTO_DATI!$C$8="si",0.3,IF(INSERIMENTO_DATI!$C$27&lt;1,0.1,0.2)))</f>
        <v/>
      </c>
      <c r="H12" s="619">
        <f>+IF('DM 80'!$I$12&lt;&gt;"X",0,IF(INSERIMENTO_DATI!$C$8="si",$H$10*0.3,IF(INSERIMENTO_DATI!$C$27&lt;1,$H$10*0.1,$H$10*0.2)))</f>
        <v>0</v>
      </c>
      <c r="I12" s="621" t="str">
        <f>+IF('DM 80'!$I$12&lt;&gt;"X","",IF(INSERIMENTO_DATI!$C$8="si",0.3,IF(INSERIMENTO_DATI!$C$27&lt;1,0.1,0.2)))</f>
        <v/>
      </c>
      <c r="J12" s="619">
        <f>+IF('DM 80'!$K$12&lt;&gt;"X",0,IF(INSERIMENTO_DATI!$C$8="si",$J$10*0.3,IF(INSERIMENTO_DATI!$C$27&lt;1,$J$10*0.1,$J$10*0.2)))</f>
        <v>0</v>
      </c>
      <c r="K12" s="621" t="str">
        <f>+IF('DM 80'!$K$12&lt;&gt;"X","",IF(INSERIMENTO_DATI!$C$8="si",0.3,IF(INSERIMENTO_DATI!$C$27&lt;1,0.1,0.2)))</f>
        <v/>
      </c>
      <c r="L12" s="619">
        <f>+IF('DM 80'!$M$12&lt;&gt;"X",0,IF(INSERIMENTO_DATI!$C$8="si",$L$10*0.3,IF(INSERIMENTO_DATI!$C$27&lt;1,$L$10*0.1,$L$10*0.2)))</f>
        <v>0</v>
      </c>
      <c r="M12" s="621" t="str">
        <f>+IF('DM 80'!$M$12&lt;&gt;"X","",IF(INSERIMENTO_DATI!$C$8="si",0.3,IF(INSERIMENTO_DATI!$C$27&lt;1,0.1,0.2)))</f>
        <v/>
      </c>
    </row>
    <row r="13" spans="2:13" ht="15" customHeight="1" thickBot="1">
      <c r="B13" s="631"/>
      <c r="C13" s="639"/>
      <c r="D13" s="620"/>
      <c r="E13" s="636"/>
      <c r="F13" s="620"/>
      <c r="G13" s="622"/>
      <c r="H13" s="620"/>
      <c r="I13" s="622"/>
      <c r="J13" s="620"/>
      <c r="K13" s="622"/>
      <c r="L13" s="620"/>
      <c r="M13" s="622"/>
    </row>
    <row r="14" spans="2:13" ht="14.45" customHeight="1">
      <c r="B14" s="631"/>
      <c r="C14" s="638" t="s">
        <v>36</v>
      </c>
      <c r="D14" s="619">
        <f>+IF('DM 80'!$E$14&lt;&gt;"X",0,IF(INSERIMENTO_DATI!$C$27&gt;6,$D$10*0.7,IF(AND(INSERIMENTO_DATI!$C$27&lt;6,INSERIMENTO_DATI!$C$27&gt;=4),$D$10*0.6,IF(AND(INSERIMENTO_DATI!$C$27&lt;4,INSERIMENTO_DATI!$C$27&gt;=2),$D$10*0.5,$D$10*0.4))))</f>
        <v>0</v>
      </c>
      <c r="E14" s="623" t="str">
        <f>+IF('DM 80'!$E$14&lt;&gt;"x","",IF(INSERIMENTO_DATI!$C$27&gt;6,0.7,IF(AND(INSERIMENTO_DATI!$C$27&lt;6,INSERIMENTO_DATI!$C$27&gt;=4),0.6,IF(AND(INSERIMENTO_DATI!$C$27&lt;4,INSERIMENTO_DATI!$C$27&gt;=2),0.5,0.4))))</f>
        <v/>
      </c>
      <c r="F14" s="619">
        <f>+IF('DM 80'!$G$14&lt;&gt;"X",0,IF(INSERIMENTO_DATI!$C$27&gt;6,$F$10*0.7,IF(AND(INSERIMENTO_DATI!$C$27&lt;6,INSERIMENTO_DATI!$C$27&gt;=4),$F$10*0.6,IF(AND(INSERIMENTO_DATI!$C$27&lt;4,INSERIMENTO_DATI!$C$27&gt;=2),$F$10*0.5,$F$10*0.4))))</f>
        <v>0</v>
      </c>
      <c r="G14" s="623" t="str">
        <f>+IF('DM 80'!$G$14&lt;&gt;"x","",IF(INSERIMENTO_DATI!$C$27&gt;6,0.7,IF(AND(INSERIMENTO_DATI!$C$27&lt;6,INSERIMENTO_DATI!$C$27&gt;=4),0.6,IF(AND(INSERIMENTO_DATI!$C$27&lt;4,INSERIMENTO_DATI!$C$27&gt;=2),0.5,0.4))))</f>
        <v/>
      </c>
      <c r="H14" s="619">
        <f>+IF('DM 80'!$I$14&lt;&gt;"X",0,IF(INSERIMENTO_DATI!$C$27&gt;6,$H$10*0.7,IF(AND(INSERIMENTO_DATI!$C$27&lt;6,INSERIMENTO_DATI!$C$27&gt;=4),$H$10*0.6,IF(AND(INSERIMENTO_DATI!$C$27&lt;4,INSERIMENTO_DATI!$C$27&gt;=2),$H$10*0.5,$H$10*0.4))))</f>
        <v>0</v>
      </c>
      <c r="I14" s="623" t="str">
        <f>+IF('DM 80'!$I$14&lt;&gt;"x","",IF(INSERIMENTO_DATI!$C$27&gt;6,0.7,IF(AND(INSERIMENTO_DATI!$C$27&lt;6,INSERIMENTO_DATI!$C$27&gt;=4),0.6,IF(AND(INSERIMENTO_DATI!$C$27&lt;4,INSERIMENTO_DATI!$C$27&gt;=2),0.5,0.4))))</f>
        <v/>
      </c>
      <c r="J14" s="619">
        <f>+IF('DM 80'!$K$14&lt;&gt;"X",0,IF(INSERIMENTO_DATI!$C$27&gt;6,$J$10*0.7,IF(AND(INSERIMENTO_DATI!$C$27&lt;6,INSERIMENTO_DATI!$C$27&gt;=4),$J$10*0.6,IF(AND(INSERIMENTO_DATI!$C$27&lt;4,INSERIMENTO_DATI!$C$27&gt;=2),$J$10*0.5,$J$10*0.4))))</f>
        <v>0</v>
      </c>
      <c r="K14" s="623" t="str">
        <f>+IF('DM 80'!$K$14&lt;&gt;"x","",IF(INSERIMENTO_DATI!$C$27&gt;6,0.7,IF(AND(INSERIMENTO_DATI!$C$27&lt;6,INSERIMENTO_DATI!$C$27&gt;=4),0.6,IF(AND(INSERIMENTO_DATI!$C$27&lt;4,INSERIMENTO_DATI!$C$27&gt;=2),0.5,0.4))))</f>
        <v/>
      </c>
      <c r="L14" s="619">
        <f>+IF('DM 80'!$M$14&lt;&gt;"X",0,IF(INSERIMENTO_DATI!$C$27&gt;6,$L$10*0.7,IF(AND(INSERIMENTO_DATI!$C$27&lt;6,INSERIMENTO_DATI!$C$27&gt;=4),$L$10*0.6,IF(AND(INSERIMENTO_DATI!$C$27&lt;4,INSERIMENTO_DATI!$C$27&gt;=2),$L$10*0.5,$L$10*0.4))))</f>
        <v>0</v>
      </c>
      <c r="M14" s="623" t="str">
        <f>+IF('DM 80'!$M$14&lt;&gt;"x","",IF(INSERIMENTO_DATI!$C$27&gt;6,0.7,IF(AND(INSERIMENTO_DATI!$C$27&lt;6,INSERIMENTO_DATI!$C$27&gt;=4),0.6,IF(AND(INSERIMENTO_DATI!$C$27&lt;4,INSERIMENTO_DATI!$C$27&gt;=2),0.5,0.4))))</f>
        <v/>
      </c>
    </row>
    <row r="15" spans="2:13" ht="15" customHeight="1" thickBot="1">
      <c r="B15" s="632"/>
      <c r="C15" s="639"/>
      <c r="D15" s="620"/>
      <c r="E15" s="624"/>
      <c r="F15" s="620"/>
      <c r="G15" s="624"/>
      <c r="H15" s="620"/>
      <c r="I15" s="624"/>
      <c r="J15" s="620"/>
      <c r="K15" s="624"/>
      <c r="L15" s="620"/>
      <c r="M15" s="624"/>
    </row>
    <row r="16" spans="2:13" ht="16.5" thickBot="1">
      <c r="B16" s="78"/>
      <c r="C16" s="145" t="s">
        <v>112</v>
      </c>
      <c r="D16" s="637">
        <f>IF($D$14&lt;&gt;0,$D$14,IF($D$12&lt;&gt;0,$D$12,IF($D$9&lt;&gt;"",$D$9,$D$8)))</f>
        <v>250</v>
      </c>
      <c r="E16" s="637"/>
      <c r="F16" s="637">
        <f>IF($F$14&lt;&gt;0,$F$14,IF($F$12&lt;&gt;0,$F$12,IF($F$9&lt;&gt;"",$F$9,$F$8)))</f>
        <v>1212.5</v>
      </c>
      <c r="G16" s="637"/>
      <c r="H16" s="637">
        <f>IF($H$14&lt;&gt;0,$H$14,IF($H$12&lt;&gt;0,$H$12,IF($H$9&lt;&gt;"",$H$9,$H$8)))</f>
        <v>0</v>
      </c>
      <c r="I16" s="637"/>
      <c r="J16" s="637">
        <f>IF($J$14&lt;&gt;0,$J$14,IF($J$12&lt;&gt;0,$J$12,IF($J$9&lt;&gt;"",$J$9,$J$8)))</f>
        <v>0</v>
      </c>
      <c r="K16" s="637"/>
      <c r="L16" s="637">
        <f>IF($L14&lt;&gt;0,$L$14,IF($L$12&lt;&gt;0,$L$12,IF($L$9&lt;&gt;"",$L$9,$L$8)))</f>
        <v>0</v>
      </c>
      <c r="M16" s="637"/>
    </row>
    <row r="17" spans="2:13" ht="16.5" thickBot="1">
      <c r="B17" s="77" t="s">
        <v>41</v>
      </c>
      <c r="C17" s="55" t="s">
        <v>38</v>
      </c>
      <c r="D17" s="147">
        <f>IF('DM 80'!$E$19="x",0,IF(AND('DM 80'!$E$17="y",INSERIMENTO_DATI!$C$27&gt;6),$D$16*1,IF(AND('DM 80'!$E$17="y",INSERIMENTO_DATI!$C$27&lt;6),$D$16*1,IF(AND('DM 80'!$E$17="x",INSERIMENTO_DATI!$C$27&gt;6),$D$16*0.9,IF(AND('DM 80'!$E$17="x",INSERIMENTO_DATI!$C$27&lt;6),$D$16*0.9,0)))))</f>
        <v>225</v>
      </c>
      <c r="E17" s="146">
        <f>IF('DM 80'!$E$19="x","",IF(AND('DM 80'!$E$17="y",INSERIMENTO_DATI!$C$27&gt;6),1,IF(AND('DM 80'!$E$17="y",INSERIMENTO_DATI!$C$27&lt;6),1,IF(AND('DM 80'!$E$17="x",INSERIMENTO_DATI!$C$27&gt;6),0.9,IF(AND('DM 80'!$E$17="x",INSERIMENTO_DATI!$C$27&lt;6),0.9,"")))))</f>
        <v>0.9</v>
      </c>
      <c r="F17" s="147">
        <f>IF('DM 80'!$G$19="x",0,IF(AND('DM 80'!$G$17="y",INSERIMENTO_DATI!$C$27&gt;6),$F$16*1,IF(AND('DM 80'!$G$17="y",INSERIMENTO_DATI!$C$27&lt;6),$F$16*1,IF(AND('DM 80'!$G$17="x",INSERIMENTO_DATI!$C$27&gt;6),$F$16*0.9,IF(AND('DM 80'!$G$17="x",INSERIMENTO_DATI!$C$27&lt;6),$F$16*0.9,0)))))</f>
        <v>1091.25</v>
      </c>
      <c r="G17" s="146">
        <f>IF('DM 80'!$G$19="x","",IF(AND('DM 80'!$G$17="y",INSERIMENTO_DATI!$C$27&gt;6),1,IF(AND('DM 80'!$G$17="y",INSERIMENTO_DATI!$C$27&lt;6),1,IF(AND('DM 80'!$G$17="x",INSERIMENTO_DATI!$C$27&gt;6),0.9,IF(AND('DM 80'!$G$17="x",INSERIMENTO_DATI!$C$27&lt;6),0.9,"")))))</f>
        <v>0.9</v>
      </c>
      <c r="H17" s="147">
        <f>IF('DM 80'!$I$19="x",0,IF(AND('DM 80'!$I$17="y",INSERIMENTO_DATI!$C$27&gt;6),$H$16*1,IF(AND('DM 80'!$I$17="y",INSERIMENTO_DATI!$C$27&lt;6),$H$16*1,IF(AND('DM 80'!$I$17="x",INSERIMENTO_DATI!$C$27&gt;6),$H$16*0.9,IF(AND('DM 80'!$I$17="x",INSERIMENTO_DATI!$C$27&lt;6),$H$16*0.9,0)))))</f>
        <v>0</v>
      </c>
      <c r="I17" s="146">
        <f>IF('DM 80'!$I$19="x","",IF(AND('DM 80'!$I$17="y",INSERIMENTO_DATI!$C$27&gt;6),1,IF(AND('DM 80'!$I$17="y",INSERIMENTO_DATI!$C$27&lt;6),1,IF(AND('DM 80'!$I$17="x",INSERIMENTO_DATI!$C$27&gt;6),0.9,IF(AND('DM 80'!$I$17="x",INSERIMENTO_DATI!$C$27&lt;6),0.9,"")))))</f>
        <v>0.9</v>
      </c>
      <c r="J17" s="147">
        <f>IF('DM 80'!$K$19="x",0,IF(AND('DM 80'!$K$17="y",INSERIMENTO_DATI!$C$27&gt;6),$J$16*1,IF(AND('DM 80'!$K$17="y",INSERIMENTO_DATI!$C$27&lt;6),$J$16*1,IF(AND('DM 80'!$K$17="x",INSERIMENTO_DATI!$C$27&gt;6),$J$16*0.9,IF(AND('DM 80'!$K$17="x",INSERIMENTO_DATI!$C$27&lt;6),$J$16*0.9,0)))))</f>
        <v>0</v>
      </c>
      <c r="K17" s="146">
        <f>IF('DM 80'!$K$19="x","",IF(AND('DM 80'!$K$17="y",INSERIMENTO_DATI!$C$27&gt;6),1,IF(AND('DM 80'!$K$17="y",INSERIMENTO_DATI!$C$27&lt;6),1,IF(AND('DM 80'!$K$17="x",INSERIMENTO_DATI!$C$27&gt;6),0.9,IF(AND('DM 80'!$K$17="x",INSERIMENTO_DATI!$C$27&lt;6),0.9,"")))))</f>
        <v>0.9</v>
      </c>
      <c r="L17" s="147">
        <f>IF('DM 80'!$M$19="x",0,IF(AND('DM 80'!$M$17="y",INSERIMENTO_DATI!$C$27&gt;6),$L$16*1,IF(AND('DM 80'!$M$17="y",INSERIMENTO_DATI!$C$27&lt;6),$L$16*1,IF(AND('DM 80'!$M$17="x",INSERIMENTO_DATI!$C$27&gt;6),$L$16*0.9,IF(AND('DM 80'!$M$17="x",INSERIMENTO_DATI!$C$27&lt;6),$L$16*0.9,0)))))</f>
        <v>0</v>
      </c>
      <c r="M17" s="146">
        <f>IF('DM 80'!$M$19="x","",IF(AND('DM 80'!$M$17="y",INSERIMENTO_DATI!$C$27&gt;6),1,IF(AND('DM 80'!$M$17="y",INSERIMENTO_DATI!$C$27&lt;6),1,IF(AND('DM 80'!$M$17="x",INSERIMENTO_DATI!$C$27&gt;6),0.9,IF(AND('DM 80'!$M$17="x",INSERIMENTO_DATI!$C$27&lt;6),0.9,"")))))</f>
        <v>0.9</v>
      </c>
    </row>
    <row r="18" spans="2:13" ht="16.5" thickBot="1">
      <c r="B18" s="78"/>
      <c r="D18" s="66"/>
      <c r="E18" s="64"/>
      <c r="F18" s="66"/>
      <c r="G18" s="64"/>
      <c r="H18" s="66"/>
      <c r="I18" s="64"/>
      <c r="J18" s="66"/>
      <c r="K18" s="64"/>
      <c r="L18" s="66"/>
      <c r="M18" s="64"/>
    </row>
    <row r="19" spans="2:13" ht="16.5" thickBot="1">
      <c r="B19" s="77" t="s">
        <v>42</v>
      </c>
      <c r="C19" s="67" t="s">
        <v>50</v>
      </c>
      <c r="D19" s="65">
        <f>IF('DM 80'!$E$19="x",$D$16*1.2,0)</f>
        <v>0</v>
      </c>
      <c r="E19" s="146" t="str">
        <f>IF($D$19&lt;&gt;0,"20%","")</f>
        <v/>
      </c>
      <c r="F19" s="65">
        <f>IF('DM 80'!$G$19="x",$F$16*1.2,0)</f>
        <v>0</v>
      </c>
      <c r="G19" s="146" t="str">
        <f>IF($F$19&lt;&gt;0,"20%","")</f>
        <v/>
      </c>
      <c r="H19" s="65">
        <f>IF('DM 80'!$I$19="x",$H$16*1.2,0)</f>
        <v>0</v>
      </c>
      <c r="I19" s="146" t="str">
        <f>IF($H$19&lt;&gt;0,"20%","")</f>
        <v/>
      </c>
      <c r="J19" s="65">
        <f>IF('DM 80'!$K$19="x",$J$16*1.2,0)</f>
        <v>0</v>
      </c>
      <c r="K19" s="146" t="str">
        <f>IF($J$19&lt;&gt;0,"20%","")</f>
        <v/>
      </c>
      <c r="L19" s="65">
        <f>IF('DM 80'!$M$19="x",$L$16*1.2,0)</f>
        <v>0</v>
      </c>
      <c r="M19" s="146" t="str">
        <f>IF($L$19&lt;&gt;0,"20%","")</f>
        <v/>
      </c>
    </row>
    <row r="20" spans="2:13" ht="16.899999999999999" customHeight="1" thickBot="1">
      <c r="B20" s="78"/>
      <c r="D20" s="149"/>
      <c r="E20" s="149"/>
      <c r="F20" s="149"/>
      <c r="G20" s="149"/>
      <c r="H20" s="149"/>
      <c r="I20" s="149"/>
      <c r="J20" s="149"/>
      <c r="K20" s="149"/>
      <c r="L20" s="149"/>
      <c r="M20" s="149"/>
    </row>
    <row r="21" spans="2:13" ht="17.45" customHeight="1" thickBot="1">
      <c r="B21" s="78"/>
      <c r="C21" s="148" t="s">
        <v>112</v>
      </c>
      <c r="D21" s="633">
        <f>IF($D19&lt;&gt;0,$D$19,IF($D$17&lt;&gt;0,$D$17,$D$16))</f>
        <v>225</v>
      </c>
      <c r="E21" s="633"/>
      <c r="F21" s="633">
        <f>IF($F19&lt;&gt;0,$F$19,IF($F$17&lt;&gt;0,$F$17,$F$16))</f>
        <v>1091.25</v>
      </c>
      <c r="G21" s="633"/>
      <c r="H21" s="633">
        <f>IF($H19&lt;&gt;0,$H$19,IF($H$17&lt;&gt;0,$H$17,$H$16))</f>
        <v>0</v>
      </c>
      <c r="I21" s="633"/>
      <c r="J21" s="633">
        <f>IF($J19&lt;&gt;0,$J$19,IF($J$17&lt;&gt;0,$J$17,$J$16))</f>
        <v>0</v>
      </c>
      <c r="K21" s="633"/>
      <c r="L21" s="633">
        <f>IF($L19&lt;&gt;0,$L$19,IF($L$17&lt;&gt;0,$L$17,$L$16))</f>
        <v>0</v>
      </c>
      <c r="M21" s="633"/>
    </row>
    <row r="22" spans="2:13" ht="16.5" thickBot="1">
      <c r="B22" s="77" t="s">
        <v>37</v>
      </c>
      <c r="C22" s="55" t="s">
        <v>44</v>
      </c>
      <c r="D22" s="65">
        <f>+IF('DM 80'!$E$21="x",'DM 80 ALL 1'!$D$33,0)</f>
        <v>0</v>
      </c>
      <c r="E22" s="65"/>
      <c r="F22" s="65">
        <f>+IF('DM 80'!$G$21="x",'DM 80 ALL 1'!$E$33,0)</f>
        <v>0</v>
      </c>
      <c r="G22" s="65"/>
      <c r="H22" s="65">
        <f>+IF('DM 80'!$I$21="x",'DM 80 ALL 1'!$F$33,0)</f>
        <v>0</v>
      </c>
      <c r="I22" s="65"/>
      <c r="J22" s="65">
        <f>+IF('DM 80'!$K$21="x",'DM 80 ALL 1'!$G$33,0)</f>
        <v>0</v>
      </c>
      <c r="K22" s="65"/>
      <c r="L22" s="65">
        <f>+IF('DM 80'!$M$21="x",'DM 80 ALL 1'!$H$33,0)</f>
        <v>0</v>
      </c>
      <c r="M22" s="65"/>
    </row>
    <row r="23" spans="2:13" ht="16.5" thickBot="1">
      <c r="B23" s="78"/>
      <c r="D23" s="68"/>
      <c r="E23" s="64"/>
      <c r="F23" s="68"/>
      <c r="G23" s="64"/>
      <c r="H23" s="68"/>
      <c r="I23" s="64"/>
      <c r="J23" s="68"/>
      <c r="K23" s="64"/>
      <c r="L23" s="68"/>
      <c r="M23" s="64"/>
    </row>
    <row r="24" spans="2:13" ht="15" customHeight="1">
      <c r="B24" s="641" t="s">
        <v>45</v>
      </c>
      <c r="C24" s="70" t="s">
        <v>46</v>
      </c>
      <c r="D24" s="619">
        <f>IF('DM 80'!$E$24="",0,IF('DM 80'!$E$24="a",$D$21*1.05,IF('DM 80'!$E$24="b",$D$21*1.1,IF('DM 80'!$E$24="c",$D$21*1.15,$D$21*1.2))))</f>
        <v>0</v>
      </c>
      <c r="E24" s="623" t="str">
        <f>IF('DM 80'!$E$24="","",IF('DM 80'!$E$24="a",0.05,IF('DM 80'!$E$24="b",0.1,IF('DM 80'!$E$24="c",0.15,0.2))))</f>
        <v/>
      </c>
      <c r="F24" s="619">
        <f>IF('DM 80'!$G$24="",0,IF('DM 80'!$G$24="a",$F$21*1.05,IF('DM 80'!$G$24="b",$F$21*1.1,IF('DM 80'!$G$24="c",$F$21*1.15,$F$21*1.2))))</f>
        <v>0</v>
      </c>
      <c r="G24" s="623" t="str">
        <f>IF('DM 80'!$G$24="","",IF('DM 80'!$G$24="a",0.05,IF('DM 80'!$G$24="b",0.1,IF('DM 80'!$G$24="c",0.15,0.2))))</f>
        <v/>
      </c>
      <c r="H24" s="619">
        <f>IF('DM 80'!$I$24="",0,IF('DM 80'!$I$24="a",$H$21*1.05,IF('DM 80'!$I$24="b",$H$21*1.1,IF('DM 80'!$I$24="c",$H$21*1.15,$H$21*1.2))))</f>
        <v>0</v>
      </c>
      <c r="I24" s="623" t="str">
        <f>IF('DM 80'!$I$24="","",IF('DM 80'!$I$24="a",0.05,IF('DM 80'!$I$24="b",0.1,IF('DM 80'!$I$24="c",0.15,0.2))))</f>
        <v/>
      </c>
      <c r="J24" s="619">
        <f>IF('DM 80'!$K$24="",0,IF('DM 80'!$K$24="a",$J$21*1.05,IF('DM 80'!$K$24="b",$J$21*1.1,IF('DM 80'!$K$24="c",$J$21*1.15,$J$21*1.2))))</f>
        <v>0</v>
      </c>
      <c r="K24" s="623" t="str">
        <f>IF('DM 80'!$K$24="","",IF('DM 80'!$K$24="a",0.05,IF('DM 80'!$K$24="b",0.1,IF('DM 80'!$K$24="c",0.15,0.2))))</f>
        <v/>
      </c>
      <c r="L24" s="619">
        <f>IF('DM 80'!$M$24="",0,IF('DM 80'!$M$24="a",$L$21*1.05,IF('DM 80'!$M$24="b",$L$21*1.1,IF('DM 80'!$M$24="c",$L$21*1.15,$L$21*1.2))))</f>
        <v>0</v>
      </c>
      <c r="M24" s="623" t="str">
        <f>IF('DM 80'!$M$24="","",IF('DM 80'!$M$24="a",0.05,IF('DM 80'!$M$24="b",0.1,IF('DM 80'!$M$24="c",0.15,0.2))))</f>
        <v/>
      </c>
    </row>
    <row r="25" spans="2:13" ht="12.75" customHeight="1">
      <c r="B25" s="642"/>
      <c r="C25" s="75" t="s">
        <v>10</v>
      </c>
      <c r="D25" s="625"/>
      <c r="E25" s="626"/>
      <c r="F25" s="625"/>
      <c r="G25" s="626"/>
      <c r="H25" s="625"/>
      <c r="I25" s="626"/>
      <c r="J25" s="625"/>
      <c r="K25" s="626"/>
      <c r="L25" s="625"/>
      <c r="M25" s="626"/>
    </row>
    <row r="26" spans="2:13" ht="12.75" customHeight="1">
      <c r="B26" s="642"/>
      <c r="C26" s="75" t="s">
        <v>11</v>
      </c>
      <c r="D26" s="625"/>
      <c r="E26" s="626"/>
      <c r="F26" s="625"/>
      <c r="G26" s="626"/>
      <c r="H26" s="625"/>
      <c r="I26" s="626"/>
      <c r="J26" s="625"/>
      <c r="K26" s="626"/>
      <c r="L26" s="625"/>
      <c r="M26" s="626"/>
    </row>
    <row r="27" spans="2:13" ht="12.75" customHeight="1">
      <c r="B27" s="642"/>
      <c r="C27" s="75" t="s">
        <v>12</v>
      </c>
      <c r="D27" s="625"/>
      <c r="E27" s="626"/>
      <c r="F27" s="625"/>
      <c r="G27" s="626"/>
      <c r="H27" s="625"/>
      <c r="I27" s="626"/>
      <c r="J27" s="625"/>
      <c r="K27" s="626"/>
      <c r="L27" s="625"/>
      <c r="M27" s="626"/>
    </row>
    <row r="28" spans="2:13" ht="12.75" customHeight="1">
      <c r="B28" s="642"/>
      <c r="C28" s="75" t="s">
        <v>13</v>
      </c>
      <c r="D28" s="625"/>
      <c r="E28" s="626"/>
      <c r="F28" s="625"/>
      <c r="G28" s="626"/>
      <c r="H28" s="625"/>
      <c r="I28" s="626"/>
      <c r="J28" s="625"/>
      <c r="K28" s="626"/>
      <c r="L28" s="625"/>
      <c r="M28" s="626"/>
    </row>
    <row r="29" spans="2:13" ht="13.5" customHeight="1" thickBot="1">
      <c r="B29" s="643"/>
      <c r="C29" s="76" t="s">
        <v>14</v>
      </c>
      <c r="D29" s="620"/>
      <c r="E29" s="624"/>
      <c r="F29" s="620"/>
      <c r="G29" s="624"/>
      <c r="H29" s="620"/>
      <c r="I29" s="624"/>
      <c r="J29" s="620"/>
      <c r="K29" s="624"/>
      <c r="L29" s="620"/>
      <c r="M29" s="624"/>
    </row>
    <row r="30" spans="2:13" ht="16.5" thickBot="1">
      <c r="D30" s="59"/>
      <c r="E30" s="68"/>
      <c r="F30" s="59"/>
      <c r="G30" s="68"/>
      <c r="H30" s="59"/>
      <c r="I30" s="68"/>
      <c r="J30" s="59"/>
      <c r="K30" s="68"/>
      <c r="L30" s="59"/>
      <c r="M30" s="68"/>
    </row>
    <row r="31" spans="2:13" ht="20.25" customHeight="1" thickBot="1">
      <c r="B31" s="640" t="s">
        <v>113</v>
      </c>
      <c r="C31" s="640"/>
      <c r="D31" s="95">
        <f>IF($D$24&lt;=0,($D$21+$D$22),($D22+$D$24))</f>
        <v>225</v>
      </c>
      <c r="E31" s="95"/>
      <c r="F31" s="95">
        <f>IF($F$24&lt;=0,($F$21+$F$22),($F22+$F$24))</f>
        <v>1091.25</v>
      </c>
      <c r="G31" s="95"/>
      <c r="H31" s="95">
        <f>IF($H$24&lt;=0,($H$21+$H$22),($H22+$H$24))</f>
        <v>0</v>
      </c>
      <c r="I31" s="95"/>
      <c r="J31" s="95">
        <f>IF($J$24&lt;=0,($J$21+$J$22),($J22+$J$24))</f>
        <v>0</v>
      </c>
      <c r="K31" s="95"/>
      <c r="L31" s="95">
        <f>IF($L$24&lt;=0,($L$21+$L$22),($L22+$L$24))</f>
        <v>0</v>
      </c>
      <c r="M31" s="95"/>
    </row>
    <row r="32" spans="2:13" ht="15.75">
      <c r="C32" s="150" t="s">
        <v>114</v>
      </c>
      <c r="D32" s="59">
        <f>SUM($D$31:$L$31)</f>
        <v>1316.25</v>
      </c>
    </row>
    <row r="33" spans="2:4" ht="15.75">
      <c r="C33" s="150" t="s">
        <v>188</v>
      </c>
      <c r="D33" s="59">
        <f>$D$32*10/100</f>
        <v>131.63</v>
      </c>
    </row>
    <row r="34" spans="2:4" ht="15.75">
      <c r="C34" s="152" t="s">
        <v>116</v>
      </c>
      <c r="D34" s="151">
        <f>$D$32+$D$33</f>
        <v>1447.88</v>
      </c>
    </row>
    <row r="37" spans="2:4">
      <c r="B37" s="101"/>
    </row>
  </sheetData>
  <sheetProtection selectLockedCells="1"/>
  <mergeCells count="54">
    <mergeCell ref="L21:M21"/>
    <mergeCell ref="F16:G16"/>
    <mergeCell ref="H16:I16"/>
    <mergeCell ref="J16:K16"/>
    <mergeCell ref="L16:M16"/>
    <mergeCell ref="L24:L29"/>
    <mergeCell ref="M24:M29"/>
    <mergeCell ref="C12:C13"/>
    <mergeCell ref="G14:G15"/>
    <mergeCell ref="F21:G21"/>
    <mergeCell ref="H21:I21"/>
    <mergeCell ref="B31:C31"/>
    <mergeCell ref="F24:F29"/>
    <mergeCell ref="G24:G29"/>
    <mergeCell ref="H24:H29"/>
    <mergeCell ref="B24:B29"/>
    <mergeCell ref="C14:C15"/>
    <mergeCell ref="D6:E6"/>
    <mergeCell ref="J24:J29"/>
    <mergeCell ref="K24:K29"/>
    <mergeCell ref="I24:I29"/>
    <mergeCell ref="D16:E16"/>
    <mergeCell ref="J21:K21"/>
    <mergeCell ref="D14:D15"/>
    <mergeCell ref="E14:E15"/>
    <mergeCell ref="H6:I6"/>
    <mergeCell ref="H12:H13"/>
    <mergeCell ref="C2:E2"/>
    <mergeCell ref="D24:D29"/>
    <mergeCell ref="E24:E29"/>
    <mergeCell ref="B4:E4"/>
    <mergeCell ref="B11:B15"/>
    <mergeCell ref="D12:D13"/>
    <mergeCell ref="D21:E21"/>
    <mergeCell ref="C3:E3"/>
    <mergeCell ref="B5:E5"/>
    <mergeCell ref="E12:E13"/>
    <mergeCell ref="I12:I13"/>
    <mergeCell ref="H14:H15"/>
    <mergeCell ref="I14:I15"/>
    <mergeCell ref="F6:G6"/>
    <mergeCell ref="F12:F13"/>
    <mergeCell ref="G12:G13"/>
    <mergeCell ref="F14:F15"/>
    <mergeCell ref="L6:M6"/>
    <mergeCell ref="L12:L13"/>
    <mergeCell ref="M12:M13"/>
    <mergeCell ref="L14:L15"/>
    <mergeCell ref="M14:M15"/>
    <mergeCell ref="J6:K6"/>
    <mergeCell ref="J12:J13"/>
    <mergeCell ref="K12:K13"/>
    <mergeCell ref="J14:J15"/>
    <mergeCell ref="K14:K15"/>
  </mergeCells>
  <phoneticPr fontId="2" type="noConversion"/>
  <pageMargins left="0.75" right="0.75" top="1" bottom="1" header="0.5" footer="0.5"/>
  <pageSetup paperSize="9" scale="4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I6" sqref="I6:J6"/>
    </sheetView>
  </sheetViews>
  <sheetFormatPr defaultRowHeight="12.75"/>
  <cols>
    <col min="1" max="1" width="13.28515625" customWidth="1"/>
    <col min="2" max="2" width="11.7109375" bestFit="1" customWidth="1"/>
    <col min="3" max="3" width="13.7109375" customWidth="1"/>
    <col min="4" max="5" width="13.5703125" customWidth="1"/>
    <col min="6" max="6" width="13.140625" customWidth="1"/>
    <col min="7" max="7" width="13.85546875" customWidth="1"/>
    <col min="8" max="8" width="12.140625" bestFit="1" customWidth="1"/>
    <col min="9" max="9" width="13.28515625" customWidth="1"/>
    <col min="10" max="10" width="16.28515625" customWidth="1"/>
  </cols>
  <sheetData>
    <row r="1" spans="1:10" ht="18">
      <c r="A1" s="53"/>
      <c r="B1" s="53"/>
      <c r="C1" s="53"/>
      <c r="D1" s="53"/>
      <c r="E1" s="53"/>
      <c r="F1" s="53"/>
      <c r="G1" s="53"/>
      <c r="H1" s="53"/>
      <c r="I1" s="53"/>
    </row>
    <row r="2" spans="1:10" ht="15.75">
      <c r="A2" s="4"/>
      <c r="B2" s="4"/>
      <c r="C2" s="4"/>
      <c r="D2" s="4"/>
      <c r="E2" s="5"/>
      <c r="F2" s="5"/>
      <c r="G2" s="5"/>
      <c r="H2" s="4"/>
      <c r="I2" s="54"/>
    </row>
    <row r="3" spans="1:10">
      <c r="A3" s="644" t="s">
        <v>101</v>
      </c>
      <c r="B3" s="644"/>
      <c r="C3" s="644"/>
      <c r="D3" s="644"/>
      <c r="E3" s="644"/>
      <c r="F3" s="644"/>
      <c r="G3" s="644"/>
      <c r="H3" s="644"/>
      <c r="I3" s="644"/>
      <c r="J3" s="126"/>
    </row>
    <row r="4" spans="1:10" ht="17.45" customHeight="1">
      <c r="A4" s="645" t="s">
        <v>102</v>
      </c>
      <c r="B4" s="646"/>
      <c r="C4" s="646"/>
      <c r="D4" s="646"/>
      <c r="E4" s="646"/>
      <c r="F4" s="646"/>
      <c r="G4" s="646"/>
      <c r="H4" s="646"/>
      <c r="I4" s="646"/>
      <c r="J4" s="128"/>
    </row>
    <row r="5" spans="1:10" ht="15.75">
      <c r="A5" s="650" t="s">
        <v>66</v>
      </c>
      <c r="B5" s="651"/>
      <c r="C5" s="650" t="s">
        <v>67</v>
      </c>
      <c r="D5" s="651"/>
      <c r="E5" s="647" t="s">
        <v>68</v>
      </c>
      <c r="F5" s="647"/>
      <c r="G5" s="647" t="s">
        <v>69</v>
      </c>
      <c r="H5" s="647"/>
      <c r="I5" s="647" t="s">
        <v>70</v>
      </c>
      <c r="J5" s="647"/>
    </row>
    <row r="6" spans="1:10">
      <c r="A6" s="648">
        <f>INSERIMENTO_DATI!$C$11</f>
        <v>3639.66</v>
      </c>
      <c r="B6" s="649"/>
      <c r="C6" s="648">
        <f>INSERIMENTO_DATI!$E$11</f>
        <v>71250</v>
      </c>
      <c r="D6" s="649"/>
      <c r="E6" s="648">
        <f>INSERIMENTO_DATI!$G$11</f>
        <v>0</v>
      </c>
      <c r="F6" s="649"/>
      <c r="G6" s="648">
        <f>INSERIMENTO_DATI!$I$11</f>
        <v>0</v>
      </c>
      <c r="H6" s="649"/>
      <c r="I6" s="648">
        <f>INSERIMENTO_DATI!$K$11</f>
        <v>0</v>
      </c>
      <c r="J6" s="649"/>
    </row>
    <row r="7" spans="1:10">
      <c r="A7" s="10"/>
      <c r="B7" s="6"/>
      <c r="C7" s="6"/>
      <c r="D7" s="6"/>
      <c r="E7" s="7"/>
      <c r="F7" s="7"/>
      <c r="G7" s="7"/>
      <c r="H7" s="6"/>
      <c r="I7" s="26"/>
      <c r="J7" s="128"/>
    </row>
    <row r="8" spans="1:10">
      <c r="A8" s="655" t="s">
        <v>3</v>
      </c>
      <c r="B8" s="656"/>
      <c r="C8" s="111"/>
      <c r="D8" s="125" t="s">
        <v>2</v>
      </c>
      <c r="E8" s="23"/>
      <c r="F8" s="22" t="s">
        <v>103</v>
      </c>
      <c r="G8" s="22" t="s">
        <v>104</v>
      </c>
      <c r="H8" s="22" t="s">
        <v>105</v>
      </c>
      <c r="I8" s="22" t="s">
        <v>106</v>
      </c>
      <c r="J8" s="22" t="s">
        <v>107</v>
      </c>
    </row>
    <row r="9" spans="1:10" ht="6.75" customHeight="1">
      <c r="A9" s="657"/>
      <c r="B9" s="658"/>
      <c r="C9" s="658"/>
      <c r="D9" s="658"/>
      <c r="E9" s="658"/>
      <c r="F9" s="658"/>
      <c r="G9" s="658"/>
      <c r="H9" s="658"/>
      <c r="I9" s="127"/>
      <c r="J9" s="129"/>
    </row>
    <row r="10" spans="1:10">
      <c r="A10" s="136">
        <v>0</v>
      </c>
      <c r="B10" s="137">
        <v>25000</v>
      </c>
      <c r="C10" s="134"/>
      <c r="D10" s="138">
        <v>3</v>
      </c>
      <c r="E10" s="132"/>
      <c r="F10" s="138">
        <f>IF($A$6&lt;=25000,$A$6*$D$10/100,25000*$D$10/100)</f>
        <v>109.19</v>
      </c>
      <c r="G10" s="138">
        <f>IF($C$6&lt;=25000,$C$6*$D$10/100,25000*$D$10/100)</f>
        <v>750</v>
      </c>
      <c r="H10" s="138">
        <f>IF($E$6&lt;=25000,$E$6*$D$10/100,25000*$D$10/100)</f>
        <v>0</v>
      </c>
      <c r="I10" s="138">
        <f>IF($G$6&lt;=25000,$G$6*$D$10/100,25000*$D$10/100)</f>
        <v>0</v>
      </c>
      <c r="J10" s="138">
        <f>IF($I$6&lt;=25000,$I$6*$D$10/100,25000*$D$10/100)</f>
        <v>0</v>
      </c>
    </row>
    <row r="11" spans="1:10" ht="6.75" customHeight="1">
      <c r="A11" s="657"/>
      <c r="B11" s="658"/>
      <c r="C11" s="658"/>
      <c r="D11" s="658"/>
      <c r="E11" s="658"/>
      <c r="F11" s="658"/>
      <c r="G11" s="658"/>
      <c r="H11" s="658"/>
      <c r="I11" s="139"/>
      <c r="J11" s="140"/>
    </row>
    <row r="12" spans="1:10">
      <c r="A12" s="136">
        <v>25000.01</v>
      </c>
      <c r="B12" s="137">
        <v>100000</v>
      </c>
      <c r="C12" s="134"/>
      <c r="D12" s="138">
        <v>1</v>
      </c>
      <c r="E12" s="132"/>
      <c r="F12" s="138">
        <f>IF($A$6&lt;25000,0,IF($A$6&lt;=100000,($A$6-25000)*$D$12/100,(100000-25000)*$D$12/100))</f>
        <v>0</v>
      </c>
      <c r="G12" s="138">
        <f>IF($C$6&lt;25000,0,IF($C$6&lt;=100000,($C$6-25000)*$D$12/100,(100000-25000)*$D$12/100))</f>
        <v>462.5</v>
      </c>
      <c r="H12" s="138">
        <f>IF($E$6&lt;25000,0,IF($E$6&lt;=100000,($E$6-25000)*$D$12/100,(100000-25000)*$D$12/100))</f>
        <v>0</v>
      </c>
      <c r="I12" s="138">
        <f>IF($G$6&lt;25000,0,IF($G$6&lt;=100000,($G$6-25000)*$D$12/100,(100000-25000)*$D$12/100))</f>
        <v>0</v>
      </c>
      <c r="J12" s="138">
        <f>IF($I$6&lt;25000,0,IF($I$6&lt;=100000,($I$6-25000)*$D$12/100,(100000-25000)*$D$12/100))</f>
        <v>0</v>
      </c>
    </row>
    <row r="13" spans="1:10" ht="6.75" customHeight="1">
      <c r="A13" s="657"/>
      <c r="B13" s="658"/>
      <c r="C13" s="658"/>
      <c r="D13" s="658"/>
      <c r="E13" s="658"/>
      <c r="F13" s="658"/>
      <c r="G13" s="658"/>
      <c r="H13" s="658"/>
      <c r="I13" s="139"/>
      <c r="J13" s="140"/>
    </row>
    <row r="14" spans="1:10">
      <c r="A14" s="136">
        <v>100000.01</v>
      </c>
      <c r="B14" s="137">
        <v>200000</v>
      </c>
      <c r="C14" s="134"/>
      <c r="D14" s="132">
        <v>0.8</v>
      </c>
      <c r="E14" s="132"/>
      <c r="F14" s="138">
        <f>IF($A$6&lt;100000,0,IF($A$6&lt;=200000,($A$6-100000)*$D$14/100,(200000-100000)*$D$14/100))</f>
        <v>0</v>
      </c>
      <c r="G14" s="138">
        <f>IF($C$6&lt;100000,0,IF($C$6&lt;=200000,($C$6-100000)*$D$14/100,(200000-100000)*$D$14/100))</f>
        <v>0</v>
      </c>
      <c r="H14" s="138">
        <f>IF($E$6&lt;100000,0,IF($E$6&lt;=200000,($E$6-100000)*$D$14/100,(200000-100000)*$D$14/100))</f>
        <v>0</v>
      </c>
      <c r="I14" s="138">
        <f>IF($G$6&lt;100000,0,IF($G$6&lt;=200000,($G$6-100000)*$D$14/100,(200000-100000)*$D$14/100))</f>
        <v>0</v>
      </c>
      <c r="J14" s="138">
        <f>IF($I$6&lt;100000,0,IF($I$6&lt;=200000,($I$6-100000)*$D$14/100,(200000-100000)*$D$14/100))</f>
        <v>0</v>
      </c>
    </row>
    <row r="15" spans="1:10" ht="6.75" customHeight="1">
      <c r="A15" s="657"/>
      <c r="B15" s="658"/>
      <c r="C15" s="658"/>
      <c r="D15" s="658"/>
      <c r="E15" s="658"/>
      <c r="F15" s="658"/>
      <c r="G15" s="658"/>
      <c r="H15" s="658"/>
      <c r="I15" s="139"/>
      <c r="J15" s="140"/>
    </row>
    <row r="16" spans="1:10">
      <c r="A16" s="136">
        <v>200000.01</v>
      </c>
      <c r="B16" s="137">
        <v>300000</v>
      </c>
      <c r="C16" s="134"/>
      <c r="D16" s="132">
        <v>0.7</v>
      </c>
      <c r="E16" s="132"/>
      <c r="F16" s="137">
        <f>IF($A$6&lt;200000,0,IF($A$6&lt;=300000,($A$6-200000)*$D$16/100,(300000-200000)*$D$16/100))</f>
        <v>0</v>
      </c>
      <c r="G16" s="137">
        <f>IF($C$6&lt;200000,0,IF($C$6&lt;=300000,($C$6-200000)*$D$16/100,(300000-200000)*$D$16/100))</f>
        <v>0</v>
      </c>
      <c r="H16" s="137">
        <f>IF($E$6&lt;200000,0,IF($E$6&lt;=300000,($E$6-200000)*$D$16/100,(300000-200000)*$D$16/100))</f>
        <v>0</v>
      </c>
      <c r="I16" s="137">
        <f>IF($G$6&lt;200000,0,IF($G$6&lt;=300000,($G$6-200000)*$D$16/100,(300000-200000)*$D$16/100))</f>
        <v>0</v>
      </c>
      <c r="J16" s="137">
        <f>IF($I$6&lt;200000,0,IF($I$6&lt;=300000,($I$6-200000)*$D$16/100,(300000-200000)*$D$16/100))</f>
        <v>0</v>
      </c>
    </row>
    <row r="17" spans="1:12" ht="6.75" customHeight="1">
      <c r="A17" s="657"/>
      <c r="B17" s="658"/>
      <c r="C17" s="658"/>
      <c r="D17" s="658"/>
      <c r="E17" s="658"/>
      <c r="F17" s="658"/>
      <c r="G17" s="658"/>
      <c r="H17" s="658"/>
      <c r="I17" s="139"/>
      <c r="J17" s="140"/>
    </row>
    <row r="18" spans="1:12">
      <c r="A18" s="136">
        <v>300000.01</v>
      </c>
      <c r="B18" s="137">
        <v>500000</v>
      </c>
      <c r="C18" s="134"/>
      <c r="D18" s="132">
        <v>0.5</v>
      </c>
      <c r="E18" s="132"/>
      <c r="F18" s="137">
        <f>IF($A$6&lt;300000,0,IF($A$6&lt;=500000,($A$6-300000)*$D$18/100,(500000-300000)*$D$18/100))</f>
        <v>0</v>
      </c>
      <c r="G18" s="137">
        <f>IF($C$6&lt;300000,0,IF($C$6&lt;=500000,($C$6-300000)*$D$18/100,(500000-300000)*$D$18/100))</f>
        <v>0</v>
      </c>
      <c r="H18" s="137">
        <f>IF($E$6&lt;300000,0,IF($E$6&lt;=500000,($E$6-300000)*$D$18/100,(500000-300000)*$D$18/100))</f>
        <v>0</v>
      </c>
      <c r="I18" s="137">
        <f>IF($G$6&lt;300000,0,IF($G$6&lt;=500000,($G$6-300000)*$D$18/100,(500000-300000)*$D$18/100))</f>
        <v>0</v>
      </c>
      <c r="J18" s="137">
        <f>IF($I$6&lt;300000,0,IF($I$6&lt;=500000,($I$6-300000)*$D$18/100,(500000-300000)*$D$18/100))</f>
        <v>0</v>
      </c>
    </row>
    <row r="19" spans="1:12" ht="6.75" customHeight="1">
      <c r="A19" s="657"/>
      <c r="B19" s="658"/>
      <c r="C19" s="658"/>
      <c r="D19" s="658"/>
      <c r="E19" s="658"/>
      <c r="F19" s="658"/>
      <c r="G19" s="658"/>
      <c r="H19" s="658"/>
      <c r="I19" s="139"/>
      <c r="J19" s="140"/>
    </row>
    <row r="20" spans="1:12">
      <c r="A20" s="136">
        <v>500000.01</v>
      </c>
      <c r="B20" s="137"/>
      <c r="C20" s="134"/>
      <c r="D20" s="132">
        <v>0.3</v>
      </c>
      <c r="E20" s="132"/>
      <c r="F20" s="137">
        <f>IF($A$6&lt;500000,0,($A$6-500000)*$D$20/100)</f>
        <v>0</v>
      </c>
      <c r="G20" s="137">
        <f>IF($C$6&lt;500000,0,($C$6-500000)*$D$20/100)</f>
        <v>0</v>
      </c>
      <c r="H20" s="137">
        <f>IF($E$6&lt;500000,0,($E$6-500000)*$D$20/100)</f>
        <v>0</v>
      </c>
      <c r="I20" s="137">
        <f>IF($G$6&lt;500000,0,($G$6-500000)*$D$20/100)</f>
        <v>0</v>
      </c>
      <c r="J20" s="137">
        <f>IF($I$6&lt;500000,0,($I$6-500000)*$D$20/100)</f>
        <v>0</v>
      </c>
    </row>
    <row r="21" spans="1:12">
      <c r="A21" s="29"/>
      <c r="B21" s="24"/>
      <c r="C21" s="25"/>
      <c r="D21" s="25"/>
      <c r="E21" s="26"/>
      <c r="F21" s="26"/>
      <c r="G21" s="26"/>
      <c r="H21" s="25"/>
      <c r="I21" s="26"/>
      <c r="J21" s="128"/>
    </row>
    <row r="22" spans="1:12" ht="15.75">
      <c r="A22" s="651"/>
      <c r="B22" s="651"/>
      <c r="C22" s="651"/>
      <c r="D22" s="652" t="s">
        <v>108</v>
      </c>
      <c r="E22" s="652"/>
      <c r="F22" s="133">
        <f>SUM($F$10:$F$20)</f>
        <v>109.19</v>
      </c>
      <c r="G22" s="133">
        <f>SUM($G$10:$G$20)</f>
        <v>1212.5</v>
      </c>
      <c r="H22" s="133">
        <f>SUM($H$10:$H$20)</f>
        <v>0</v>
      </c>
      <c r="I22" s="133">
        <f>SUM($I$10:$I$20)</f>
        <v>0</v>
      </c>
      <c r="J22" s="133">
        <f>SUM($J$10:$J$20)</f>
        <v>0</v>
      </c>
    </row>
    <row r="23" spans="1:12" ht="15.75">
      <c r="A23" s="30"/>
      <c r="B23" s="25"/>
      <c r="C23" s="25"/>
      <c r="D23" s="650" t="s">
        <v>65</v>
      </c>
      <c r="E23" s="650"/>
      <c r="F23" s="141">
        <f>SUM($F$22:$J$22)</f>
        <v>1321.69</v>
      </c>
      <c r="G23" s="26"/>
      <c r="H23" s="25"/>
      <c r="I23" s="135"/>
      <c r="J23" s="128"/>
    </row>
    <row r="24" spans="1:12" ht="15.75">
      <c r="A24" s="31"/>
      <c r="B24" s="27"/>
      <c r="C24" s="27"/>
      <c r="D24" s="651"/>
      <c r="E24" s="651"/>
      <c r="F24" s="651"/>
      <c r="G24" s="651"/>
      <c r="H24" s="32"/>
      <c r="I24" s="26"/>
      <c r="J24" s="128"/>
    </row>
    <row r="25" spans="1:12" ht="13.5" thickBot="1">
      <c r="A25" s="11"/>
      <c r="B25" s="12"/>
      <c r="C25" s="12"/>
      <c r="D25" s="12"/>
      <c r="E25" s="12"/>
      <c r="F25" s="12"/>
      <c r="G25" s="12"/>
      <c r="H25" s="12"/>
      <c r="I25" s="130"/>
      <c r="J25" s="131"/>
    </row>
    <row r="26" spans="1:12" ht="13.5" thickTop="1">
      <c r="A26" s="659" t="s">
        <v>4</v>
      </c>
      <c r="B26" s="660"/>
      <c r="C26" s="660"/>
      <c r="D26" s="660"/>
      <c r="E26" s="660"/>
      <c r="F26" s="660"/>
      <c r="G26" s="660"/>
      <c r="H26" s="660"/>
      <c r="I26" s="661"/>
    </row>
    <row r="27" spans="1:12" ht="12.75" customHeight="1">
      <c r="A27" s="13"/>
      <c r="B27" s="14"/>
      <c r="C27" s="9"/>
      <c r="D27" s="15"/>
      <c r="E27" s="8"/>
      <c r="F27" s="8"/>
      <c r="G27" s="8"/>
      <c r="H27" s="9"/>
      <c r="I27" s="16"/>
      <c r="J27" s="43"/>
      <c r="K27" s="43"/>
      <c r="L27" s="44"/>
    </row>
    <row r="28" spans="1:12" ht="12.75" customHeight="1">
      <c r="A28" s="653" t="s">
        <v>5</v>
      </c>
      <c r="B28" s="654"/>
      <c r="C28" s="654"/>
      <c r="D28" s="654"/>
      <c r="E28" s="654"/>
      <c r="F28" s="654"/>
      <c r="G28" s="654"/>
      <c r="H28" s="654"/>
      <c r="I28" s="662"/>
      <c r="J28" s="43"/>
      <c r="K28" s="43"/>
      <c r="L28" s="44"/>
    </row>
    <row r="29" spans="1:12" ht="12.75" customHeight="1">
      <c r="A29" s="653" t="s">
        <v>6</v>
      </c>
      <c r="B29" s="654"/>
      <c r="C29" s="654"/>
      <c r="D29" s="654"/>
      <c r="E29" s="654"/>
      <c r="F29" s="654"/>
      <c r="G29" s="654"/>
      <c r="H29" s="654"/>
      <c r="I29" s="662"/>
      <c r="J29" s="43"/>
      <c r="K29" s="43"/>
      <c r="L29" s="44"/>
    </row>
    <row r="30" spans="1:12" ht="12.75" customHeight="1">
      <c r="A30" s="113"/>
      <c r="B30" s="114"/>
      <c r="C30" s="114"/>
      <c r="D30" s="117" t="s">
        <v>66</v>
      </c>
      <c r="E30" s="117" t="s">
        <v>67</v>
      </c>
      <c r="F30" s="117" t="s">
        <v>68</v>
      </c>
      <c r="G30" s="117" t="s">
        <v>69</v>
      </c>
      <c r="H30" s="117" t="s">
        <v>70</v>
      </c>
      <c r="I30" s="115"/>
      <c r="J30" s="43"/>
      <c r="K30" s="43"/>
      <c r="L30" s="44"/>
    </row>
    <row r="31" spans="1:12" ht="12.75" customHeight="1">
      <c r="A31" s="113" t="s">
        <v>7</v>
      </c>
      <c r="B31" s="17">
        <v>5000</v>
      </c>
      <c r="C31" s="18">
        <v>0.04</v>
      </c>
      <c r="D31" s="46">
        <f>+IF('DM 80'!$E$22&gt;$B$31,($B$31*$C$31),('DM 80'!$E$22*$C$31))</f>
        <v>200</v>
      </c>
      <c r="E31" s="46">
        <f>+IF('DM 80'!$G$22&gt;$B$31,($B$31*$C$31),('DM 80'!$G$22*$C$31))</f>
        <v>200</v>
      </c>
      <c r="F31" s="46">
        <f>+IF('DM 80'!$I$22&gt;$B$31,($B$31*$C$31),('DM 80'!$I$22*$C$31))</f>
        <v>200</v>
      </c>
      <c r="G31" s="46">
        <f>+IF('DM 80'!$K$22&gt;$B$31,($B$31*$C$31),('DM 80'!$K$22*$C$31))</f>
        <v>200</v>
      </c>
      <c r="H31" s="46">
        <f>+IF('DM 80'!$M$22&gt;$B$31,($B$31*$C$31),('DM 80'!$M$22*$C$31))</f>
        <v>200</v>
      </c>
      <c r="I31" s="115"/>
      <c r="J31" s="43"/>
      <c r="K31" s="43"/>
      <c r="L31" s="44"/>
    </row>
    <row r="32" spans="1:12" ht="12.75" customHeight="1">
      <c r="A32" s="113" t="s">
        <v>8</v>
      </c>
      <c r="B32" s="17">
        <v>5000</v>
      </c>
      <c r="C32" s="18">
        <v>0.03</v>
      </c>
      <c r="D32" s="47">
        <f>+IF(AND('DM 80'!$E$21="x",'DM 80'!$E$22&gt;$B$32),(('DM 80'!$E$22-$B$32)*$C$32),0)</f>
        <v>0</v>
      </c>
      <c r="E32" s="47">
        <f>+IF(AND('DM 80'!$G$21="x",'DM 80'!$G$22&gt;$B$32),(('DM 80'!$G$22-$B$32)*$C$32),0)</f>
        <v>0</v>
      </c>
      <c r="F32" s="47">
        <f>+IF(AND('DM 80'!$I$21="x",'DM 80'!$I$22&gt;$B$32),(('DM 80'!$I$22-$B$32)*$C$32),0)</f>
        <v>0</v>
      </c>
      <c r="G32" s="47">
        <f>+IF(AND('DM 80'!$K$21="x",'DM 80'!$K$22&gt;$B$32),(('DM 80'!$K$22-$B$32)*$C$32),0)</f>
        <v>0</v>
      </c>
      <c r="H32" s="47">
        <f>+IF(AND('DM 80'!$M$21="x",'DM 80'!$M$22&gt;$B$32),(('DM 80'!$M$22-$B$32)*$C$32),0)</f>
        <v>0</v>
      </c>
      <c r="I32" s="115"/>
      <c r="J32" s="43"/>
      <c r="K32" s="43"/>
      <c r="L32" s="44"/>
    </row>
    <row r="33" spans="1:12" ht="12.75" customHeight="1">
      <c r="A33" s="113"/>
      <c r="B33" s="116" t="s">
        <v>51</v>
      </c>
      <c r="C33" s="116"/>
      <c r="D33" s="46">
        <f>SUM($D$31:$D$32)</f>
        <v>200</v>
      </c>
      <c r="E33" s="46">
        <f>SUM($E$31:$E$32)</f>
        <v>200</v>
      </c>
      <c r="F33" s="46">
        <f>SUM($F$31:$F$32)</f>
        <v>200</v>
      </c>
      <c r="G33" s="46">
        <f>SUM($G$31:$G$32)</f>
        <v>200</v>
      </c>
      <c r="H33" s="46">
        <f>SUM($H$31:$H$32)</f>
        <v>200</v>
      </c>
      <c r="I33" s="115"/>
      <c r="J33" s="43"/>
      <c r="K33" s="43"/>
      <c r="L33" s="44"/>
    </row>
    <row r="34" spans="1:12" s="28" customFormat="1" ht="12.75" customHeight="1" thickBot="1">
      <c r="A34" s="19"/>
      <c r="B34" s="20"/>
      <c r="C34" s="20"/>
      <c r="D34" s="20"/>
      <c r="E34" s="20"/>
      <c r="F34" s="20"/>
      <c r="G34" s="20"/>
      <c r="H34" s="20"/>
      <c r="I34" s="21"/>
      <c r="J34" s="43"/>
      <c r="K34" s="43"/>
      <c r="L34" s="45"/>
    </row>
    <row r="35" spans="1:12" s="28" customFormat="1" ht="12.75" customHeight="1" thickTop="1" thickBot="1">
      <c r="A35"/>
      <c r="B35"/>
      <c r="C35"/>
      <c r="D35"/>
      <c r="E35"/>
      <c r="F35"/>
      <c r="G35"/>
      <c r="H35"/>
      <c r="I35"/>
      <c r="J35" s="43"/>
      <c r="K35" s="43"/>
      <c r="L35" s="45"/>
    </row>
    <row r="36" spans="1:12" s="28" customFormat="1" ht="12.75" customHeight="1" thickTop="1">
      <c r="A36" s="659" t="s">
        <v>15</v>
      </c>
      <c r="B36" s="660"/>
      <c r="C36" s="660"/>
      <c r="D36" s="660"/>
      <c r="E36" s="660"/>
      <c r="F36" s="660"/>
      <c r="G36" s="660"/>
      <c r="H36" s="660"/>
      <c r="I36" s="661"/>
      <c r="J36" s="43"/>
      <c r="K36" s="43"/>
      <c r="L36" s="45"/>
    </row>
    <row r="37" spans="1:12" ht="12.75" customHeight="1">
      <c r="A37" s="13"/>
      <c r="B37" s="14"/>
      <c r="C37" s="9"/>
      <c r="D37" s="15"/>
      <c r="E37" s="8"/>
      <c r="F37" s="8"/>
      <c r="G37" s="8"/>
      <c r="H37" s="9"/>
      <c r="I37" s="16"/>
      <c r="J37" s="43"/>
      <c r="K37" s="43"/>
      <c r="L37" s="44"/>
    </row>
    <row r="38" spans="1:12" ht="12.75" customHeight="1">
      <c r="A38" s="653" t="s">
        <v>9</v>
      </c>
      <c r="B38" s="654"/>
      <c r="C38" s="654"/>
      <c r="D38" s="654"/>
      <c r="E38" s="654"/>
      <c r="F38" s="654"/>
      <c r="G38" s="654"/>
      <c r="H38" s="654"/>
      <c r="I38" s="662"/>
      <c r="J38" s="43"/>
      <c r="K38" s="43"/>
      <c r="L38" s="44"/>
    </row>
    <row r="39" spans="1:12" ht="12.75" customHeight="1">
      <c r="A39" s="653" t="s">
        <v>10</v>
      </c>
      <c r="B39" s="654"/>
      <c r="C39" s="654"/>
      <c r="D39" s="654"/>
      <c r="E39" s="654"/>
      <c r="F39" s="41"/>
      <c r="G39" s="41"/>
      <c r="H39" s="41"/>
      <c r="I39" s="42"/>
      <c r="J39" s="43"/>
      <c r="K39" s="43"/>
    </row>
    <row r="40" spans="1:12" ht="12.75" customHeight="1">
      <c r="A40" s="653" t="s">
        <v>11</v>
      </c>
      <c r="B40" s="654"/>
      <c r="C40" s="654"/>
      <c r="D40" s="654"/>
      <c r="E40" s="654"/>
      <c r="F40" s="41"/>
      <c r="G40" s="41"/>
      <c r="H40" s="41"/>
      <c r="I40" s="42"/>
      <c r="J40" s="43"/>
      <c r="K40" s="43"/>
    </row>
    <row r="41" spans="1:12">
      <c r="A41" s="653" t="s">
        <v>12</v>
      </c>
      <c r="B41" s="654"/>
      <c r="C41" s="654"/>
      <c r="D41" s="654"/>
      <c r="E41" s="654"/>
      <c r="F41" s="41"/>
      <c r="G41" s="41"/>
      <c r="H41" s="41"/>
      <c r="I41" s="42"/>
    </row>
    <row r="42" spans="1:12">
      <c r="A42" s="653" t="s">
        <v>13</v>
      </c>
      <c r="B42" s="654"/>
      <c r="C42" s="654"/>
      <c r="D42" s="654"/>
      <c r="E42" s="654"/>
      <c r="F42" s="41"/>
      <c r="G42" s="41"/>
      <c r="H42" s="41"/>
      <c r="I42" s="42"/>
    </row>
    <row r="43" spans="1:12">
      <c r="A43" s="653" t="s">
        <v>14</v>
      </c>
      <c r="B43" s="654"/>
      <c r="C43" s="654"/>
      <c r="D43" s="654"/>
      <c r="E43" s="654"/>
      <c r="F43" s="41"/>
      <c r="G43" s="41"/>
      <c r="H43" s="41"/>
      <c r="I43" s="42"/>
    </row>
    <row r="44" spans="1:12">
      <c r="A44" s="113"/>
      <c r="B44" s="114"/>
      <c r="C44" s="114"/>
      <c r="D44" s="114"/>
      <c r="E44" s="114" t="s">
        <v>52</v>
      </c>
      <c r="F44" s="41"/>
      <c r="G44" s="41" t="s">
        <v>0</v>
      </c>
      <c r="H44" s="41" t="s">
        <v>1</v>
      </c>
      <c r="I44" s="42"/>
    </row>
    <row r="45" spans="1:12">
      <c r="A45" s="113"/>
      <c r="B45" s="114"/>
      <c r="C45" s="114"/>
      <c r="D45" s="114"/>
      <c r="E45" s="114"/>
      <c r="F45" s="41"/>
      <c r="G45" s="51">
        <v>0.05</v>
      </c>
      <c r="H45" s="51">
        <v>0.2</v>
      </c>
      <c r="I45" s="42"/>
    </row>
    <row r="46" spans="1:12">
      <c r="A46" s="113"/>
      <c r="B46" s="114"/>
      <c r="C46" s="114"/>
      <c r="D46" s="114"/>
      <c r="E46" s="114"/>
      <c r="F46" s="41"/>
      <c r="G46" s="52"/>
      <c r="H46" s="52"/>
      <c r="I46" s="42"/>
    </row>
    <row r="47" spans="1:12">
      <c r="A47" s="40"/>
      <c r="B47" s="41"/>
      <c r="C47" s="41"/>
      <c r="D47" s="41"/>
      <c r="E47" s="41"/>
      <c r="F47" s="41"/>
      <c r="G47" s="41"/>
      <c r="H47" s="41"/>
      <c r="I47" s="42"/>
    </row>
    <row r="48" spans="1:12" ht="13.5" thickBot="1">
      <c r="A48" s="48"/>
      <c r="B48" s="49"/>
      <c r="C48" s="49"/>
      <c r="D48" s="49"/>
      <c r="E48" s="49"/>
      <c r="F48" s="49"/>
      <c r="G48" s="49"/>
      <c r="H48" s="49"/>
      <c r="I48" s="50"/>
    </row>
    <row r="49" ht="13.5" thickTop="1"/>
  </sheetData>
  <sheetProtection sheet="1" objects="1" scenarios="1" selectLockedCells="1"/>
  <mergeCells count="33">
    <mergeCell ref="A43:E43"/>
    <mergeCell ref="A36:I36"/>
    <mergeCell ref="A29:I29"/>
    <mergeCell ref="A13:H13"/>
    <mergeCell ref="A15:H15"/>
    <mergeCell ref="A17:H17"/>
    <mergeCell ref="A26:I26"/>
    <mergeCell ref="A28:I28"/>
    <mergeCell ref="A38:I38"/>
    <mergeCell ref="A39:E39"/>
    <mergeCell ref="A42:E42"/>
    <mergeCell ref="A8:B8"/>
    <mergeCell ref="A19:H19"/>
    <mergeCell ref="D24:G24"/>
    <mergeCell ref="A9:H9"/>
    <mergeCell ref="A11:H11"/>
    <mergeCell ref="D23:E23"/>
    <mergeCell ref="E5:F5"/>
    <mergeCell ref="G5:H5"/>
    <mergeCell ref="A22:C22"/>
    <mergeCell ref="D22:E22"/>
    <mergeCell ref="A40:E40"/>
    <mergeCell ref="A41:E41"/>
    <mergeCell ref="A3:I3"/>
    <mergeCell ref="A4:I4"/>
    <mergeCell ref="I5:J5"/>
    <mergeCell ref="A6:B6"/>
    <mergeCell ref="C6:D6"/>
    <mergeCell ref="E6:F6"/>
    <mergeCell ref="G6:H6"/>
    <mergeCell ref="I6:J6"/>
    <mergeCell ref="A5:B5"/>
    <mergeCell ref="C5:D5"/>
  </mergeCells>
  <phoneticPr fontId="2" type="noConversion"/>
  <pageMargins left="0.75" right="0.75" top="1" bottom="1" header="0.5" footer="0.5"/>
  <pageSetup paperSize="9" scale="65" orientation="portrait" r:id="rId1"/>
  <headerFooter alignWithMargins="0">
    <oddHeader>&amp;LD.M.80 del 15 05 2009&amp;Cart. 2 comma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18</vt:i4>
      </vt:variant>
    </vt:vector>
  </HeadingPairs>
  <TitlesOfParts>
    <vt:vector size="29" baseType="lpstr">
      <vt:lpstr>INSERIMENTO_DATI</vt:lpstr>
      <vt:lpstr>Fdo Spese_ Spese</vt:lpstr>
      <vt:lpstr>CONTEGGIO</vt:lpstr>
      <vt:lpstr>PROVVEDIMENTO</vt:lpstr>
      <vt:lpstr>Istanza Liquidaz Compenso</vt:lpstr>
      <vt:lpstr>DM 227</vt:lpstr>
      <vt:lpstr>DM 80</vt:lpstr>
      <vt:lpstr>Sviluppo DM 80</vt:lpstr>
      <vt:lpstr>DM 80 ALL 1</vt:lpstr>
      <vt:lpstr>elenchi</vt:lpstr>
      <vt:lpstr>Spese dm313</vt:lpstr>
      <vt:lpstr>CONTEGGIO!Area_stampa</vt:lpstr>
      <vt:lpstr>'DM 227'!Area_stampa</vt:lpstr>
      <vt:lpstr>'Fdo Spese_ Spese'!Area_stampa</vt:lpstr>
      <vt:lpstr>CUSTODIA_PLURIS</vt:lpstr>
      <vt:lpstr>CUSTODIA_PLUS</vt:lpstr>
      <vt:lpstr>LOTTI_NUM</vt:lpstr>
      <vt:lpstr>MIS_LIQUIDAZ</vt:lpstr>
      <vt:lpstr>PROVVEDIMENTO!PROCED</vt:lpstr>
      <vt:lpstr>PROFESSIONISTI_</vt:lpstr>
      <vt:lpstr>SCELTA</vt:lpstr>
      <vt:lpstr>SCELTA_</vt:lpstr>
      <vt:lpstr>scelta_semplice</vt:lpstr>
      <vt:lpstr>STATO_BENE</vt:lpstr>
      <vt:lpstr>STATO_BENI</vt:lpstr>
      <vt:lpstr>STATUS_IMM</vt:lpstr>
      <vt:lpstr>TEMPO_ESTINZ</vt:lpstr>
      <vt:lpstr>TEMPO_ESTINZIONE</vt:lpstr>
      <vt:lpstr>TITOLI</vt:lpstr>
    </vt:vector>
  </TitlesOfParts>
  <Company>Sergio Salvatori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Tribunale di Pescara</dc:creator>
  <cp:lastModifiedBy>simonetta</cp:lastModifiedBy>
  <cp:lastPrinted>2017-04-10T09:03:50Z</cp:lastPrinted>
  <dcterms:created xsi:type="dcterms:W3CDTF">2008-10-06T15:46:46Z</dcterms:created>
  <dcterms:modified xsi:type="dcterms:W3CDTF">2017-10-27T14:35:34Z</dcterms:modified>
</cp:coreProperties>
</file>